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tomkins/Papers/Meteorite papers/Martian Micrometeorites/"/>
    </mc:Choice>
  </mc:AlternateContent>
  <xr:revisionPtr revIDLastSave="0" documentId="13_ncr:1_{665537C0-9DDD-0343-8AD7-0AEFB41C6730}" xr6:coauthVersionLast="43" xr6:coauthVersionMax="43" xr10:uidLastSave="{00000000-0000-0000-0000-000000000000}"/>
  <bookViews>
    <workbookView xWindow="28820" yWindow="460" windowWidth="33460" windowHeight="20520" xr2:uid="{00000000-000D-0000-FFFF-FFFF00000000}"/>
  </bookViews>
  <sheets>
    <sheet name="Null-1a (Crack) 2000-500" sheetId="2" r:id="rId1"/>
    <sheet name="Null-1a (Crack) 500-250" sheetId="3" r:id="rId2"/>
    <sheet name="Null-1a (Crack) 250-125" sheetId="4" r:id="rId3"/>
    <sheet name="Null-1b (Bowl) 500-250" sheetId="6" r:id="rId4"/>
    <sheet name="Null-1b (Bowl) 250-125" sheetId="7" r:id="rId5"/>
    <sheet name="Null-1c (Control) 2000-250" sheetId="8" r:id="rId6"/>
    <sheet name="Null-1c (Control) 250-125" sheetId="9" r:id="rId7"/>
    <sheet name="Null-3 2000-500" sheetId="10" r:id="rId8"/>
    <sheet name="Null-3 500-250" sheetId="11" r:id="rId9"/>
    <sheet name="Null-3 125-250" sheetId="12" r:id="rId10"/>
    <sheet name="Null-6 2000-500" sheetId="13" r:id="rId11"/>
    <sheet name="Null-6 500-250" sheetId="14" r:id="rId12"/>
    <sheet name="Null-6 250-125" sheetId="15" r:id="rId13"/>
    <sheet name="Null-10" sheetId="16" r:id="rId14"/>
    <sheet name="Null-12 2000-500" sheetId="17" r:id="rId15"/>
    <sheet name="Null-12 500-250" sheetId="18" r:id="rId16"/>
    <sheet name="Null-12 250-125" sheetId="19" r:id="rId17"/>
    <sheet name="EXP 12 250-125 redo" sheetId="20" r:id="rId18"/>
    <sheet name="NUL EXP Count TOTALS" sheetId="21" r:id="rId19"/>
    <sheet name="Nullarbor Sample data" sheetId="22" r:id="rId20"/>
    <sheet name="abundances (MMkg)" sheetId="23" r:id="rId21"/>
    <sheet name="STUB MM Library" sheetId="24" r:id="rId22"/>
    <sheet name="SEM Mounts Nullarbor" sheetId="25" r:id="rId23"/>
    <sheet name="Naming Con" sheetId="26" r:id="rId24"/>
    <sheet name="Sheet1" sheetId="27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5" l="1"/>
  <c r="AD39" i="16" l="1"/>
  <c r="AD3" i="14"/>
  <c r="AD17" i="15"/>
  <c r="AD16" i="15"/>
  <c r="AD5" i="15"/>
  <c r="AD4" i="15"/>
  <c r="AD3" i="15"/>
  <c r="E47" i="23"/>
  <c r="E48" i="23"/>
  <c r="J48" i="23" s="1"/>
  <c r="E49" i="23"/>
  <c r="J49" i="23" s="1"/>
  <c r="E50" i="23"/>
  <c r="E51" i="23"/>
  <c r="J50" i="23" s="1"/>
  <c r="E52" i="23"/>
  <c r="E46" i="23"/>
  <c r="J47" i="23" s="1"/>
  <c r="E38" i="23"/>
  <c r="G38" i="23" s="1"/>
  <c r="E39" i="23"/>
  <c r="J39" i="23" s="1"/>
  <c r="E40" i="23"/>
  <c r="J40" i="23" s="1"/>
  <c r="E41" i="23"/>
  <c r="E42" i="23"/>
  <c r="J41" i="23" s="1"/>
  <c r="E43" i="23"/>
  <c r="E37" i="23"/>
  <c r="P5" i="22"/>
  <c r="P4" i="22"/>
  <c r="P3" i="22"/>
  <c r="H23" i="23"/>
  <c r="I23" i="23" s="1"/>
  <c r="G37" i="23" l="1"/>
  <c r="G43" i="23"/>
  <c r="G41" i="23"/>
  <c r="J46" i="23"/>
  <c r="J37" i="23"/>
  <c r="G42" i="23"/>
  <c r="J38" i="23"/>
  <c r="G40" i="23"/>
  <c r="G39" i="23"/>
  <c r="M184" i="26"/>
  <c r="L184" i="26"/>
  <c r="M183" i="26"/>
  <c r="L183" i="26"/>
  <c r="M182" i="26"/>
  <c r="L182" i="26"/>
  <c r="M181" i="26"/>
  <c r="L181" i="26"/>
  <c r="M180" i="26"/>
  <c r="L180" i="26"/>
  <c r="M179" i="26"/>
  <c r="L179" i="26"/>
  <c r="M178" i="26"/>
  <c r="L178" i="26"/>
  <c r="M177" i="26"/>
  <c r="L177" i="26"/>
  <c r="M176" i="26"/>
  <c r="L176" i="26"/>
  <c r="M175" i="26"/>
  <c r="L175" i="26"/>
  <c r="M174" i="26"/>
  <c r="L174" i="26"/>
  <c r="M173" i="26"/>
  <c r="L173" i="26"/>
  <c r="M172" i="26"/>
  <c r="L172" i="26"/>
  <c r="M171" i="26"/>
  <c r="L171" i="26"/>
  <c r="M170" i="26"/>
  <c r="L170" i="26"/>
  <c r="M169" i="26"/>
  <c r="L169" i="26"/>
  <c r="M168" i="26"/>
  <c r="L168" i="26"/>
  <c r="M167" i="26"/>
  <c r="L167" i="26"/>
  <c r="M166" i="26"/>
  <c r="L166" i="26"/>
  <c r="M165" i="26"/>
  <c r="L165" i="26"/>
  <c r="M164" i="26"/>
  <c r="L164" i="26"/>
  <c r="M163" i="26"/>
  <c r="L163" i="26"/>
  <c r="M162" i="26"/>
  <c r="L162" i="26"/>
  <c r="M161" i="26"/>
  <c r="L161" i="26"/>
  <c r="M160" i="26"/>
  <c r="L160" i="26"/>
  <c r="M159" i="26"/>
  <c r="L159" i="26"/>
  <c r="M158" i="26"/>
  <c r="L158" i="26"/>
  <c r="M157" i="26"/>
  <c r="L157" i="26"/>
  <c r="M156" i="26"/>
  <c r="L156" i="26"/>
  <c r="M155" i="26"/>
  <c r="L155" i="26"/>
  <c r="M154" i="26"/>
  <c r="L154" i="26"/>
  <c r="M153" i="26"/>
  <c r="L153" i="26"/>
  <c r="M152" i="26"/>
  <c r="L152" i="26"/>
  <c r="M151" i="26"/>
  <c r="L151" i="26"/>
  <c r="M150" i="26"/>
  <c r="L150" i="26"/>
  <c r="M149" i="26"/>
  <c r="L149" i="26"/>
  <c r="M148" i="26"/>
  <c r="L148" i="26"/>
  <c r="M147" i="26"/>
  <c r="L147" i="26"/>
  <c r="M146" i="26"/>
  <c r="L146" i="26"/>
  <c r="M145" i="26"/>
  <c r="L145" i="26"/>
  <c r="M144" i="26"/>
  <c r="L144" i="26"/>
  <c r="M143" i="26"/>
  <c r="L143" i="26"/>
  <c r="M142" i="26"/>
  <c r="L142" i="26"/>
  <c r="M141" i="26"/>
  <c r="L141" i="26"/>
  <c r="M140" i="26"/>
  <c r="L140" i="26"/>
  <c r="M139" i="26"/>
  <c r="L139" i="26"/>
  <c r="M138" i="26"/>
  <c r="L138" i="26"/>
  <c r="M137" i="26"/>
  <c r="L137" i="26"/>
  <c r="M136" i="26"/>
  <c r="L136" i="26"/>
  <c r="M135" i="26"/>
  <c r="L135" i="26"/>
  <c r="M134" i="26"/>
  <c r="L134" i="26"/>
  <c r="M133" i="26"/>
  <c r="L133" i="26"/>
  <c r="M132" i="26"/>
  <c r="L132" i="26"/>
  <c r="M131" i="26"/>
  <c r="L131" i="26"/>
  <c r="M130" i="26"/>
  <c r="L130" i="26"/>
  <c r="M129" i="26"/>
  <c r="L129" i="26"/>
  <c r="M128" i="26"/>
  <c r="L128" i="26"/>
  <c r="M127" i="26"/>
  <c r="L127" i="26"/>
  <c r="M126" i="26"/>
  <c r="L126" i="26"/>
  <c r="M125" i="26"/>
  <c r="L125" i="26"/>
  <c r="M124" i="26"/>
  <c r="L124" i="26"/>
  <c r="M123" i="26"/>
  <c r="L123" i="26"/>
  <c r="M122" i="26"/>
  <c r="L122" i="26"/>
  <c r="M121" i="26"/>
  <c r="L121" i="26"/>
  <c r="M120" i="26"/>
  <c r="L120" i="26"/>
  <c r="M119" i="26"/>
  <c r="L119" i="26"/>
  <c r="M118" i="26"/>
  <c r="L118" i="26"/>
  <c r="M117" i="26"/>
  <c r="L117" i="26"/>
  <c r="M116" i="26"/>
  <c r="L116" i="26"/>
  <c r="M115" i="26"/>
  <c r="L115" i="26"/>
  <c r="M114" i="26"/>
  <c r="L114" i="26"/>
  <c r="M113" i="26"/>
  <c r="L113" i="26"/>
  <c r="M112" i="26"/>
  <c r="L112" i="26"/>
  <c r="M111" i="26"/>
  <c r="L111" i="26"/>
  <c r="M110" i="26"/>
  <c r="L110" i="26"/>
  <c r="M109" i="26"/>
  <c r="L109" i="26"/>
  <c r="M108" i="26"/>
  <c r="L108" i="26"/>
  <c r="M107" i="26"/>
  <c r="L107" i="26"/>
  <c r="M106" i="26"/>
  <c r="L106" i="26"/>
  <c r="M105" i="26"/>
  <c r="L105" i="26"/>
  <c r="M104" i="26"/>
  <c r="L104" i="26"/>
  <c r="M103" i="26"/>
  <c r="L103" i="26"/>
  <c r="M102" i="26"/>
  <c r="L102" i="26"/>
  <c r="M101" i="26"/>
  <c r="L101" i="26"/>
  <c r="M100" i="26"/>
  <c r="L100" i="26"/>
  <c r="M99" i="26"/>
  <c r="L99" i="26"/>
  <c r="M98" i="26"/>
  <c r="L98" i="26"/>
  <c r="M97" i="26"/>
  <c r="L97" i="26"/>
  <c r="M96" i="26"/>
  <c r="L96" i="26"/>
  <c r="M95" i="26"/>
  <c r="L95" i="26"/>
  <c r="M94" i="26"/>
  <c r="L94" i="26"/>
  <c r="M93" i="26"/>
  <c r="L93" i="26"/>
  <c r="M92" i="26"/>
  <c r="L92" i="26"/>
  <c r="M91" i="26"/>
  <c r="L91" i="26"/>
  <c r="M90" i="26"/>
  <c r="L90" i="26"/>
  <c r="M89" i="26"/>
  <c r="L89" i="26"/>
  <c r="M88" i="26"/>
  <c r="L88" i="26"/>
  <c r="M87" i="26"/>
  <c r="L87" i="26"/>
  <c r="M86" i="26"/>
  <c r="L86" i="26"/>
  <c r="M85" i="26"/>
  <c r="L85" i="26"/>
  <c r="M84" i="26"/>
  <c r="L84" i="26"/>
  <c r="M83" i="26"/>
  <c r="L83" i="26"/>
  <c r="M82" i="26"/>
  <c r="L82" i="26"/>
  <c r="M81" i="26"/>
  <c r="L81" i="26"/>
  <c r="M80" i="26"/>
  <c r="L80" i="26"/>
  <c r="M79" i="26"/>
  <c r="L79" i="26"/>
  <c r="M78" i="26"/>
  <c r="L78" i="26"/>
  <c r="M77" i="26"/>
  <c r="L77" i="26"/>
  <c r="M76" i="26"/>
  <c r="L76" i="26"/>
  <c r="M75" i="26"/>
  <c r="L75" i="26"/>
  <c r="M74" i="26"/>
  <c r="L74" i="26"/>
  <c r="M73" i="26"/>
  <c r="L73" i="26"/>
  <c r="M72" i="26"/>
  <c r="L72" i="26"/>
  <c r="M71" i="26"/>
  <c r="L71" i="26"/>
  <c r="M70" i="26"/>
  <c r="L70" i="26"/>
  <c r="M69" i="26"/>
  <c r="L69" i="26"/>
  <c r="M68" i="26"/>
  <c r="L68" i="26"/>
  <c r="M67" i="26"/>
  <c r="L67" i="26"/>
  <c r="M66" i="26"/>
  <c r="L66" i="26"/>
  <c r="M65" i="26"/>
  <c r="L65" i="26"/>
  <c r="M64" i="26"/>
  <c r="L64" i="26"/>
  <c r="M63" i="26"/>
  <c r="L63" i="26"/>
  <c r="M62" i="26"/>
  <c r="L62" i="26"/>
  <c r="M61" i="26"/>
  <c r="L61" i="26"/>
  <c r="M60" i="26"/>
  <c r="L60" i="26"/>
  <c r="M59" i="26"/>
  <c r="L59" i="26"/>
  <c r="M58" i="26"/>
  <c r="L58" i="26"/>
  <c r="M57" i="26"/>
  <c r="L57" i="26"/>
  <c r="M56" i="26"/>
  <c r="L56" i="26"/>
  <c r="M55" i="26"/>
  <c r="L55" i="26"/>
  <c r="M54" i="26"/>
  <c r="L54" i="26"/>
  <c r="M53" i="26"/>
  <c r="L53" i="26"/>
  <c r="M52" i="26"/>
  <c r="L52" i="26"/>
  <c r="M51" i="26"/>
  <c r="L51" i="26"/>
  <c r="M50" i="26"/>
  <c r="L50" i="26"/>
  <c r="M49" i="26"/>
  <c r="L49" i="26"/>
  <c r="M48" i="26"/>
  <c r="L48" i="26"/>
  <c r="M47" i="26"/>
  <c r="L47" i="26"/>
  <c r="M46" i="26"/>
  <c r="L46" i="26"/>
  <c r="M45" i="26"/>
  <c r="L45" i="26"/>
  <c r="M44" i="26"/>
  <c r="L44" i="26"/>
  <c r="M43" i="26"/>
  <c r="L43" i="26"/>
  <c r="M42" i="26"/>
  <c r="L42" i="26"/>
  <c r="M41" i="26"/>
  <c r="L41" i="26"/>
  <c r="M40" i="26"/>
  <c r="L40" i="26"/>
  <c r="M39" i="26"/>
  <c r="L39" i="26"/>
  <c r="M38" i="26"/>
  <c r="L38" i="26"/>
  <c r="M37" i="26"/>
  <c r="L37" i="26"/>
  <c r="M36" i="26"/>
  <c r="L36" i="26"/>
  <c r="M35" i="26"/>
  <c r="L35" i="26"/>
  <c r="M34" i="26"/>
  <c r="L34" i="26"/>
  <c r="M33" i="26"/>
  <c r="L33" i="26"/>
  <c r="M32" i="26"/>
  <c r="L32" i="26"/>
  <c r="M31" i="26"/>
  <c r="L31" i="26"/>
  <c r="M30" i="26"/>
  <c r="L30" i="26"/>
  <c r="M29" i="26"/>
  <c r="L29" i="26"/>
  <c r="M28" i="26"/>
  <c r="L28" i="26"/>
  <c r="M27" i="26"/>
  <c r="L27" i="26"/>
  <c r="M26" i="26"/>
  <c r="L26" i="26"/>
  <c r="M25" i="26"/>
  <c r="L25" i="26"/>
  <c r="M24" i="26"/>
  <c r="L24" i="26"/>
  <c r="M23" i="26"/>
  <c r="L23" i="26"/>
  <c r="M22" i="26"/>
  <c r="L22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L6" i="26"/>
  <c r="X27" i="25"/>
  <c r="W27" i="25"/>
  <c r="H29" i="23"/>
  <c r="I29" i="23" s="1"/>
  <c r="H28" i="23"/>
  <c r="I28" i="23" s="1"/>
  <c r="H27" i="23"/>
  <c r="I27" i="23" s="1"/>
  <c r="H26" i="23"/>
  <c r="I26" i="23" s="1"/>
  <c r="H25" i="23"/>
  <c r="I25" i="23" s="1"/>
  <c r="H24" i="23"/>
  <c r="I24" i="23" s="1"/>
  <c r="K18" i="23"/>
  <c r="H18" i="23"/>
  <c r="C18" i="23"/>
  <c r="O18" i="23" s="1"/>
  <c r="O17" i="23"/>
  <c r="K17" i="23"/>
  <c r="H17" i="23"/>
  <c r="E17" i="23"/>
  <c r="O16" i="23"/>
  <c r="K16" i="23"/>
  <c r="H16" i="23"/>
  <c r="E16" i="23"/>
  <c r="O15" i="23"/>
  <c r="K15" i="23"/>
  <c r="H15" i="23"/>
  <c r="E15" i="23"/>
  <c r="O14" i="23"/>
  <c r="K14" i="23"/>
  <c r="H14" i="23"/>
  <c r="E14" i="23"/>
  <c r="O13" i="23"/>
  <c r="K13" i="23"/>
  <c r="H13" i="23"/>
  <c r="E13" i="23"/>
  <c r="O12" i="23"/>
  <c r="K12" i="23"/>
  <c r="H12" i="23"/>
  <c r="E12" i="23"/>
  <c r="O11" i="23"/>
  <c r="K11" i="23"/>
  <c r="H11" i="23"/>
  <c r="E11" i="23"/>
  <c r="O10" i="23"/>
  <c r="K10" i="23"/>
  <c r="H10" i="23"/>
  <c r="E10" i="23"/>
  <c r="O9" i="23"/>
  <c r="K9" i="23"/>
  <c r="H9" i="23"/>
  <c r="E9" i="23"/>
  <c r="O8" i="23"/>
  <c r="K8" i="23"/>
  <c r="H8" i="23"/>
  <c r="E8" i="23"/>
  <c r="O7" i="23"/>
  <c r="K7" i="23"/>
  <c r="H7" i="23"/>
  <c r="E7" i="23"/>
  <c r="O6" i="23"/>
  <c r="K6" i="23"/>
  <c r="H6" i="23"/>
  <c r="E6" i="23"/>
  <c r="O5" i="23"/>
  <c r="K5" i="23"/>
  <c r="H5" i="23"/>
  <c r="E5" i="23"/>
  <c r="O4" i="23"/>
  <c r="K4" i="23"/>
  <c r="H4" i="23"/>
  <c r="E4" i="23"/>
  <c r="R34" i="22"/>
  <c r="R37" i="22" s="1"/>
  <c r="O31" i="22"/>
  <c r="N31" i="22"/>
  <c r="M31" i="22"/>
  <c r="L31" i="22"/>
  <c r="K31" i="22"/>
  <c r="J31" i="22"/>
  <c r="O21" i="22"/>
  <c r="N21" i="22"/>
  <c r="O14" i="22" s="1"/>
  <c r="G14" i="22" s="1"/>
  <c r="H14" i="22" s="1"/>
  <c r="I14" i="22" s="1"/>
  <c r="M21" i="22"/>
  <c r="L21" i="22"/>
  <c r="K21" i="22"/>
  <c r="O17" i="22"/>
  <c r="N17" i="22"/>
  <c r="M17" i="22"/>
  <c r="L17" i="22"/>
  <c r="K17" i="22"/>
  <c r="H16" i="22"/>
  <c r="I16" i="22" s="1"/>
  <c r="G16" i="22"/>
  <c r="G15" i="22"/>
  <c r="H15" i="22" s="1"/>
  <c r="I15" i="22" s="1"/>
  <c r="R14" i="22"/>
  <c r="G13" i="22"/>
  <c r="G12" i="22"/>
  <c r="R10" i="22"/>
  <c r="G10" i="22"/>
  <c r="G9" i="22"/>
  <c r="G8" i="22"/>
  <c r="R7" i="22"/>
  <c r="G7" i="22"/>
  <c r="H7" i="22" s="1"/>
  <c r="I7" i="22" s="1"/>
  <c r="G6" i="22"/>
  <c r="H6" i="22" s="1"/>
  <c r="I6" i="22" s="1"/>
  <c r="R5" i="22"/>
  <c r="G5" i="22"/>
  <c r="H5" i="22" s="1"/>
  <c r="I5" i="22" s="1"/>
  <c r="R4" i="22"/>
  <c r="G4" i="22"/>
  <c r="H4" i="22" s="1"/>
  <c r="I4" i="22" s="1"/>
  <c r="R3" i="22"/>
  <c r="G3" i="22"/>
  <c r="AA36" i="21"/>
  <c r="W36" i="21"/>
  <c r="S36" i="21"/>
  <c r="O36" i="21"/>
  <c r="K36" i="21"/>
  <c r="G36" i="21"/>
  <c r="C36" i="21"/>
  <c r="AA32" i="21"/>
  <c r="W32" i="21"/>
  <c r="S32" i="21"/>
  <c r="O32" i="21"/>
  <c r="K32" i="21"/>
  <c r="G32" i="21"/>
  <c r="C32" i="21"/>
  <c r="AA31" i="21"/>
  <c r="W31" i="21"/>
  <c r="S31" i="21"/>
  <c r="O31" i="21"/>
  <c r="K31" i="21"/>
  <c r="G31" i="21"/>
  <c r="C31" i="21"/>
  <c r="AA30" i="21"/>
  <c r="W30" i="21"/>
  <c r="S30" i="21"/>
  <c r="O30" i="21"/>
  <c r="K30" i="21"/>
  <c r="G30" i="21"/>
  <c r="C30" i="21"/>
  <c r="AA29" i="21"/>
  <c r="W29" i="21"/>
  <c r="S29" i="21"/>
  <c r="O29" i="21"/>
  <c r="K29" i="21"/>
  <c r="G29" i="21"/>
  <c r="C29" i="21"/>
  <c r="AA28" i="21"/>
  <c r="W28" i="21"/>
  <c r="S28" i="21"/>
  <c r="O28" i="21"/>
  <c r="K28" i="21"/>
  <c r="G28" i="21"/>
  <c r="C28" i="21"/>
  <c r="AA27" i="21"/>
  <c r="W27" i="21"/>
  <c r="S27" i="21"/>
  <c r="O27" i="21"/>
  <c r="K27" i="21"/>
  <c r="G27" i="21"/>
  <c r="C27" i="21"/>
  <c r="AA26" i="21"/>
  <c r="W26" i="21"/>
  <c r="S26" i="21"/>
  <c r="O26" i="21"/>
  <c r="K26" i="21"/>
  <c r="G26" i="21"/>
  <c r="C26" i="21"/>
  <c r="AA25" i="21"/>
  <c r="W25" i="21"/>
  <c r="S25" i="21"/>
  <c r="O25" i="21"/>
  <c r="K25" i="21"/>
  <c r="G25" i="21"/>
  <c r="C25" i="21"/>
  <c r="AA24" i="21"/>
  <c r="W24" i="21"/>
  <c r="S24" i="21"/>
  <c r="O24" i="21"/>
  <c r="K24" i="21"/>
  <c r="G24" i="21"/>
  <c r="C24" i="21"/>
  <c r="AA23" i="21"/>
  <c r="W23" i="21"/>
  <c r="S23" i="21"/>
  <c r="O23" i="21"/>
  <c r="K23" i="21"/>
  <c r="G23" i="21"/>
  <c r="C23" i="21"/>
  <c r="AA22" i="21"/>
  <c r="W22" i="21"/>
  <c r="S22" i="21"/>
  <c r="O22" i="21"/>
  <c r="K22" i="21"/>
  <c r="G22" i="21"/>
  <c r="C22" i="21"/>
  <c r="AA21" i="21"/>
  <c r="W21" i="21"/>
  <c r="S21" i="21"/>
  <c r="O21" i="21"/>
  <c r="K21" i="21"/>
  <c r="G21" i="21"/>
  <c r="C21" i="21"/>
  <c r="AA20" i="21"/>
  <c r="W20" i="21"/>
  <c r="S20" i="21"/>
  <c r="O20" i="21"/>
  <c r="K20" i="21"/>
  <c r="G20" i="21"/>
  <c r="C20" i="21"/>
  <c r="AA19" i="21"/>
  <c r="W19" i="21"/>
  <c r="S19" i="21"/>
  <c r="O19" i="21"/>
  <c r="K19" i="21"/>
  <c r="G19" i="21"/>
  <c r="C19" i="21"/>
  <c r="AA18" i="21"/>
  <c r="W18" i="21"/>
  <c r="S18" i="21"/>
  <c r="O18" i="21"/>
  <c r="K18" i="21"/>
  <c r="G18" i="21"/>
  <c r="C18" i="21"/>
  <c r="AA17" i="21"/>
  <c r="W17" i="21"/>
  <c r="S17" i="21"/>
  <c r="O17" i="21"/>
  <c r="K17" i="21"/>
  <c r="G17" i="21"/>
  <c r="C17" i="21"/>
  <c r="AA16" i="21"/>
  <c r="W16" i="21"/>
  <c r="S16" i="21"/>
  <c r="O16" i="21"/>
  <c r="K16" i="21"/>
  <c r="G16" i="21"/>
  <c r="C16" i="21"/>
  <c r="AA15" i="21"/>
  <c r="W15" i="21"/>
  <c r="S15" i="21"/>
  <c r="O15" i="21"/>
  <c r="K15" i="21"/>
  <c r="G15" i="21"/>
  <c r="C15" i="21"/>
  <c r="AA14" i="21"/>
  <c r="W14" i="21"/>
  <c r="S14" i="21"/>
  <c r="O14" i="21"/>
  <c r="K14" i="21"/>
  <c r="G14" i="21"/>
  <c r="C14" i="21"/>
  <c r="AA13" i="21"/>
  <c r="W13" i="21"/>
  <c r="S13" i="21"/>
  <c r="O13" i="21"/>
  <c r="K13" i="21"/>
  <c r="G13" i="21"/>
  <c r="C13" i="21"/>
  <c r="AA12" i="21"/>
  <c r="W12" i="21"/>
  <c r="S12" i="21"/>
  <c r="O12" i="21"/>
  <c r="K12" i="21"/>
  <c r="G12" i="21"/>
  <c r="C12" i="21"/>
  <c r="AA11" i="21"/>
  <c r="W11" i="21"/>
  <c r="S11" i="21"/>
  <c r="O11" i="21"/>
  <c r="K11" i="21"/>
  <c r="G11" i="21"/>
  <c r="C11" i="21"/>
  <c r="AA10" i="21"/>
  <c r="W10" i="21"/>
  <c r="S10" i="21"/>
  <c r="O10" i="21"/>
  <c r="K10" i="21"/>
  <c r="G10" i="21"/>
  <c r="C10" i="21"/>
  <c r="AA9" i="21"/>
  <c r="W9" i="21"/>
  <c r="S9" i="21"/>
  <c r="O9" i="21"/>
  <c r="K9" i="21"/>
  <c r="G9" i="21"/>
  <c r="C9" i="21"/>
  <c r="AA8" i="21"/>
  <c r="W8" i="21"/>
  <c r="S8" i="21"/>
  <c r="O8" i="21"/>
  <c r="K8" i="21"/>
  <c r="G8" i="21"/>
  <c r="C8" i="21"/>
  <c r="AA7" i="21"/>
  <c r="W7" i="21"/>
  <c r="S7" i="21"/>
  <c r="O7" i="21"/>
  <c r="K7" i="21"/>
  <c r="G7" i="21"/>
  <c r="C7" i="21"/>
  <c r="AA6" i="21"/>
  <c r="W6" i="21"/>
  <c r="S6" i="21"/>
  <c r="O6" i="21"/>
  <c r="K6" i="21"/>
  <c r="G6" i="21"/>
  <c r="C6" i="21"/>
  <c r="AA5" i="21"/>
  <c r="W5" i="21"/>
  <c r="S5" i="21"/>
  <c r="O5" i="21"/>
  <c r="K5" i="21"/>
  <c r="G5" i="21"/>
  <c r="C5" i="21"/>
  <c r="AA4" i="21"/>
  <c r="W4" i="21"/>
  <c r="S4" i="21"/>
  <c r="O4" i="21"/>
  <c r="K4" i="21"/>
  <c r="G4" i="21"/>
  <c r="C4" i="21"/>
  <c r="AA3" i="21"/>
  <c r="W3" i="21"/>
  <c r="S3" i="21"/>
  <c r="O3" i="21"/>
  <c r="K3" i="21"/>
  <c r="G3" i="21"/>
  <c r="C3" i="21"/>
  <c r="AG7" i="19"/>
  <c r="AF7" i="19"/>
  <c r="AE7" i="19"/>
  <c r="AD7" i="19"/>
  <c r="AG6" i="19"/>
  <c r="AF6" i="19"/>
  <c r="AE6" i="19"/>
  <c r="AD6" i="19"/>
  <c r="AG5" i="19"/>
  <c r="AF5" i="19"/>
  <c r="AE5" i="19"/>
  <c r="AD5" i="19"/>
  <c r="AG4" i="19"/>
  <c r="AF4" i="19"/>
  <c r="AE4" i="19"/>
  <c r="AD4" i="19"/>
  <c r="AG3" i="19"/>
  <c r="AF3" i="19"/>
  <c r="AE3" i="19"/>
  <c r="AD3" i="19"/>
  <c r="AG31" i="18"/>
  <c r="AF31" i="18"/>
  <c r="AE31" i="18"/>
  <c r="AD31" i="18"/>
  <c r="AG30" i="18"/>
  <c r="AF30" i="18"/>
  <c r="AE30" i="18"/>
  <c r="AD30" i="18"/>
  <c r="AG29" i="18"/>
  <c r="AF29" i="18"/>
  <c r="AE29" i="18"/>
  <c r="AD29" i="18"/>
  <c r="AG28" i="18"/>
  <c r="AF28" i="18"/>
  <c r="AE28" i="18"/>
  <c r="AD28" i="18"/>
  <c r="AG27" i="18"/>
  <c r="AF27" i="18"/>
  <c r="AE27" i="18"/>
  <c r="AD27" i="18"/>
  <c r="AG19" i="18"/>
  <c r="AF19" i="18"/>
  <c r="AE19" i="18"/>
  <c r="AD19" i="18"/>
  <c r="AG18" i="18"/>
  <c r="AF18" i="18"/>
  <c r="AE18" i="18"/>
  <c r="AD18" i="18"/>
  <c r="AG17" i="18"/>
  <c r="AF17" i="18"/>
  <c r="AE17" i="18"/>
  <c r="AD17" i="18"/>
  <c r="AG16" i="18"/>
  <c r="AF16" i="18"/>
  <c r="AE16" i="18"/>
  <c r="AD16" i="18"/>
  <c r="AG15" i="18"/>
  <c r="AF15" i="18"/>
  <c r="AE15" i="18"/>
  <c r="AD15" i="18"/>
  <c r="AG7" i="18"/>
  <c r="AF7" i="18"/>
  <c r="AE7" i="18"/>
  <c r="AD7" i="18"/>
  <c r="AG6" i="18"/>
  <c r="AF6" i="18"/>
  <c r="AE6" i="18"/>
  <c r="AD6" i="18"/>
  <c r="AG5" i="18"/>
  <c r="AF5" i="18"/>
  <c r="AE5" i="18"/>
  <c r="AD5" i="18"/>
  <c r="AG4" i="18"/>
  <c r="AF4" i="18"/>
  <c r="AE4" i="18"/>
  <c r="AD4" i="18"/>
  <c r="AG3" i="18"/>
  <c r="AF3" i="18"/>
  <c r="AE3" i="18"/>
  <c r="AD3" i="18"/>
  <c r="AG7" i="17"/>
  <c r="AF7" i="17"/>
  <c r="AE7" i="17"/>
  <c r="AD7" i="17"/>
  <c r="AG6" i="17"/>
  <c r="AF6" i="17"/>
  <c r="AE6" i="17"/>
  <c r="AD6" i="17"/>
  <c r="AG5" i="17"/>
  <c r="AF5" i="17"/>
  <c r="AE5" i="17"/>
  <c r="AD5" i="17"/>
  <c r="AG4" i="17"/>
  <c r="AF4" i="17"/>
  <c r="AE4" i="17"/>
  <c r="AD4" i="17"/>
  <c r="AG3" i="17"/>
  <c r="AF3" i="17"/>
  <c r="AE3" i="17"/>
  <c r="AD3" i="17"/>
  <c r="AG98" i="16"/>
  <c r="AF98" i="16"/>
  <c r="AE98" i="16"/>
  <c r="AD98" i="16"/>
  <c r="AG97" i="16"/>
  <c r="AF97" i="16"/>
  <c r="AE97" i="16"/>
  <c r="AD97" i="16"/>
  <c r="AG96" i="16"/>
  <c r="AF96" i="16"/>
  <c r="AE96" i="16"/>
  <c r="AD96" i="16"/>
  <c r="AG95" i="16"/>
  <c r="AF95" i="16"/>
  <c r="AE95" i="16"/>
  <c r="AD95" i="16"/>
  <c r="AG94" i="16"/>
  <c r="AF94" i="16"/>
  <c r="AE94" i="16"/>
  <c r="AD94" i="16"/>
  <c r="AG87" i="16"/>
  <c r="AF87" i="16"/>
  <c r="AE87" i="16"/>
  <c r="AD87" i="16"/>
  <c r="AG86" i="16"/>
  <c r="AF86" i="16"/>
  <c r="AE86" i="16"/>
  <c r="AD86" i="16"/>
  <c r="AG85" i="16"/>
  <c r="AF85" i="16"/>
  <c r="AE85" i="16"/>
  <c r="AD85" i="16"/>
  <c r="AG84" i="16"/>
  <c r="AF84" i="16"/>
  <c r="AE84" i="16"/>
  <c r="AD84" i="16"/>
  <c r="AG83" i="16"/>
  <c r="AF83" i="16"/>
  <c r="AE83" i="16"/>
  <c r="AD83" i="16"/>
  <c r="AG75" i="16"/>
  <c r="AF75" i="16"/>
  <c r="AE75" i="16"/>
  <c r="AD75" i="16"/>
  <c r="AG74" i="16"/>
  <c r="AF74" i="16"/>
  <c r="AE74" i="16"/>
  <c r="AD74" i="16"/>
  <c r="AG73" i="16"/>
  <c r="AF73" i="16"/>
  <c r="AE73" i="16"/>
  <c r="AD73" i="16"/>
  <c r="AG72" i="16"/>
  <c r="AF72" i="16"/>
  <c r="AE72" i="16"/>
  <c r="AD72" i="16"/>
  <c r="AG71" i="16"/>
  <c r="AF71" i="16"/>
  <c r="AE71" i="16"/>
  <c r="AD71" i="16"/>
  <c r="AG64" i="16"/>
  <c r="AF64" i="16"/>
  <c r="AE64" i="16"/>
  <c r="AD64" i="16"/>
  <c r="AG63" i="16"/>
  <c r="AF63" i="16"/>
  <c r="AE63" i="16"/>
  <c r="AD63" i="16"/>
  <c r="AG62" i="16"/>
  <c r="AF62" i="16"/>
  <c r="AE62" i="16"/>
  <c r="AD62" i="16"/>
  <c r="AG61" i="16"/>
  <c r="AF61" i="16"/>
  <c r="AE61" i="16"/>
  <c r="AD61" i="16"/>
  <c r="AG60" i="16"/>
  <c r="AF60" i="16"/>
  <c r="AE60" i="16"/>
  <c r="AD60" i="16"/>
  <c r="AG53" i="16"/>
  <c r="AF53" i="16"/>
  <c r="AE53" i="16"/>
  <c r="AD53" i="16"/>
  <c r="AG52" i="16"/>
  <c r="AF52" i="16"/>
  <c r="AE52" i="16"/>
  <c r="AD52" i="16"/>
  <c r="AG51" i="16"/>
  <c r="AF51" i="16"/>
  <c r="AE51" i="16"/>
  <c r="AD51" i="16"/>
  <c r="AG50" i="16"/>
  <c r="AF50" i="16"/>
  <c r="AE50" i="16"/>
  <c r="AD50" i="16"/>
  <c r="AG49" i="16"/>
  <c r="AF49" i="16"/>
  <c r="AE49" i="16"/>
  <c r="AD49" i="16"/>
  <c r="AG42" i="16"/>
  <c r="AF42" i="16"/>
  <c r="AE42" i="16"/>
  <c r="AD42" i="16"/>
  <c r="AG41" i="16"/>
  <c r="AF41" i="16"/>
  <c r="AE41" i="16"/>
  <c r="AD41" i="16"/>
  <c r="AG40" i="16"/>
  <c r="AF40" i="16"/>
  <c r="AE40" i="16"/>
  <c r="AD40" i="16"/>
  <c r="AG39" i="16"/>
  <c r="AF39" i="16"/>
  <c r="AE39" i="16"/>
  <c r="AG38" i="16"/>
  <c r="AF38" i="16"/>
  <c r="AE38" i="16"/>
  <c r="AD38" i="16"/>
  <c r="AG31" i="16"/>
  <c r="AF31" i="16"/>
  <c r="AE31" i="16"/>
  <c r="AD31" i="16"/>
  <c r="AG30" i="16"/>
  <c r="AF30" i="16"/>
  <c r="AE30" i="16"/>
  <c r="AD30" i="16"/>
  <c r="AG29" i="16"/>
  <c r="AF29" i="16"/>
  <c r="AE29" i="16"/>
  <c r="AD29" i="16"/>
  <c r="AG28" i="16"/>
  <c r="AF28" i="16"/>
  <c r="AE28" i="16"/>
  <c r="AD28" i="16"/>
  <c r="AG27" i="16"/>
  <c r="AF27" i="16"/>
  <c r="AE27" i="16"/>
  <c r="AD27" i="16"/>
  <c r="AG20" i="16"/>
  <c r="AF20" i="16"/>
  <c r="AE20" i="16"/>
  <c r="AD20" i="16"/>
  <c r="AG19" i="16"/>
  <c r="AF19" i="16"/>
  <c r="AE19" i="16"/>
  <c r="AD19" i="16"/>
  <c r="AG18" i="16"/>
  <c r="AF18" i="16"/>
  <c r="AE18" i="16"/>
  <c r="AD18" i="16"/>
  <c r="AG17" i="16"/>
  <c r="AF17" i="16"/>
  <c r="AE17" i="16"/>
  <c r="AD17" i="16"/>
  <c r="AG16" i="16"/>
  <c r="AF16" i="16"/>
  <c r="AE16" i="16"/>
  <c r="AD16" i="16"/>
  <c r="AG7" i="16"/>
  <c r="AF7" i="16"/>
  <c r="AE7" i="16"/>
  <c r="AD7" i="16"/>
  <c r="AG6" i="16"/>
  <c r="AF6" i="16"/>
  <c r="AE6" i="16"/>
  <c r="AD6" i="16"/>
  <c r="AG5" i="16"/>
  <c r="AF5" i="16"/>
  <c r="AE5" i="16"/>
  <c r="AD5" i="16"/>
  <c r="AG4" i="16"/>
  <c r="AF4" i="16"/>
  <c r="AE4" i="16"/>
  <c r="AD4" i="16"/>
  <c r="AG3" i="16"/>
  <c r="AF3" i="16"/>
  <c r="AE3" i="16"/>
  <c r="AD3" i="16"/>
  <c r="AG33" i="15"/>
  <c r="AF33" i="15"/>
  <c r="AE33" i="15"/>
  <c r="AD33" i="15"/>
  <c r="AG32" i="15"/>
  <c r="AF32" i="15"/>
  <c r="AE32" i="15"/>
  <c r="AD32" i="15"/>
  <c r="AG31" i="15"/>
  <c r="AF31" i="15"/>
  <c r="AE31" i="15"/>
  <c r="AD31" i="15"/>
  <c r="AG30" i="15"/>
  <c r="AF30" i="15"/>
  <c r="AE30" i="15"/>
  <c r="AD30" i="15"/>
  <c r="AG29" i="15"/>
  <c r="AF29" i="15"/>
  <c r="AE29" i="15"/>
  <c r="AD29" i="15"/>
  <c r="AG20" i="15"/>
  <c r="AF20" i="15"/>
  <c r="AE20" i="15"/>
  <c r="AD20" i="15"/>
  <c r="AG19" i="15"/>
  <c r="AF19" i="15"/>
  <c r="AE19" i="15"/>
  <c r="AD19" i="15"/>
  <c r="AG18" i="15"/>
  <c r="AF18" i="15"/>
  <c r="AE18" i="15"/>
  <c r="AD18" i="15"/>
  <c r="AG17" i="15"/>
  <c r="AF17" i="15"/>
  <c r="AE17" i="15"/>
  <c r="AG16" i="15"/>
  <c r="AF16" i="15"/>
  <c r="AE16" i="15"/>
  <c r="AG7" i="15"/>
  <c r="AF7" i="15"/>
  <c r="AE7" i="15"/>
  <c r="AD7" i="15"/>
  <c r="AG6" i="15"/>
  <c r="AF6" i="15"/>
  <c r="AE6" i="15"/>
  <c r="AD6" i="15"/>
  <c r="AG5" i="15"/>
  <c r="AF5" i="15"/>
  <c r="AE5" i="15"/>
  <c r="AG4" i="15"/>
  <c r="AF4" i="15"/>
  <c r="AE4" i="15"/>
  <c r="AG3" i="15"/>
  <c r="AF3" i="15"/>
  <c r="AE3" i="15"/>
  <c r="AG19" i="14"/>
  <c r="AF19" i="14"/>
  <c r="AE19" i="14"/>
  <c r="AD19" i="14"/>
  <c r="AG18" i="14"/>
  <c r="AF18" i="14"/>
  <c r="AE18" i="14"/>
  <c r="AD18" i="14"/>
  <c r="AG17" i="14"/>
  <c r="AF17" i="14"/>
  <c r="AE17" i="14"/>
  <c r="AD17" i="14"/>
  <c r="AG16" i="14"/>
  <c r="AF16" i="14"/>
  <c r="AE16" i="14"/>
  <c r="AD16" i="14"/>
  <c r="AG15" i="14"/>
  <c r="AF15" i="14"/>
  <c r="AE15" i="14"/>
  <c r="AD15" i="14"/>
  <c r="AG7" i="14"/>
  <c r="AF7" i="14"/>
  <c r="AE7" i="14"/>
  <c r="AD7" i="14"/>
  <c r="AG6" i="14"/>
  <c r="AF6" i="14"/>
  <c r="AE6" i="14"/>
  <c r="AD6" i="14"/>
  <c r="AG5" i="14"/>
  <c r="AF5" i="14"/>
  <c r="AE5" i="14"/>
  <c r="AD5" i="14"/>
  <c r="AG4" i="14"/>
  <c r="AF4" i="14"/>
  <c r="AE4" i="14"/>
  <c r="AD4" i="14"/>
  <c r="AG3" i="14"/>
  <c r="AF3" i="14"/>
  <c r="AE3" i="14"/>
  <c r="AG19" i="13"/>
  <c r="AF19" i="13"/>
  <c r="AE19" i="13"/>
  <c r="AD19" i="13"/>
  <c r="AG18" i="13"/>
  <c r="AF18" i="13"/>
  <c r="AE18" i="13"/>
  <c r="AD18" i="13"/>
  <c r="AG17" i="13"/>
  <c r="AF17" i="13"/>
  <c r="AE17" i="13"/>
  <c r="AD17" i="13"/>
  <c r="AG16" i="13"/>
  <c r="AF16" i="13"/>
  <c r="AE16" i="13"/>
  <c r="AD16" i="13"/>
  <c r="AG15" i="13"/>
  <c r="AF15" i="13"/>
  <c r="AE15" i="13"/>
  <c r="AD15" i="13"/>
  <c r="AG7" i="13"/>
  <c r="AF7" i="13"/>
  <c r="AE7" i="13"/>
  <c r="AD7" i="13"/>
  <c r="AG6" i="13"/>
  <c r="AF6" i="13"/>
  <c r="AE6" i="13"/>
  <c r="AD6" i="13"/>
  <c r="AG5" i="13"/>
  <c r="AF5" i="13"/>
  <c r="AE5" i="13"/>
  <c r="AD5" i="13"/>
  <c r="AG4" i="13"/>
  <c r="AF4" i="13"/>
  <c r="AE4" i="13"/>
  <c r="AD4" i="13"/>
  <c r="AG3" i="13"/>
  <c r="AF3" i="13"/>
  <c r="AE3" i="13"/>
  <c r="AD3" i="13"/>
  <c r="AG31" i="12"/>
  <c r="AF31" i="12"/>
  <c r="AE31" i="12"/>
  <c r="AD31" i="12"/>
  <c r="AG30" i="12"/>
  <c r="AF30" i="12"/>
  <c r="AE30" i="12"/>
  <c r="AD30" i="12"/>
  <c r="AG29" i="12"/>
  <c r="AF29" i="12"/>
  <c r="AE29" i="12"/>
  <c r="AD29" i="12"/>
  <c r="AG28" i="12"/>
  <c r="AF28" i="12"/>
  <c r="AE28" i="12"/>
  <c r="AD28" i="12"/>
  <c r="AG27" i="12"/>
  <c r="AF27" i="12"/>
  <c r="AE27" i="12"/>
  <c r="AD27" i="12"/>
  <c r="AG19" i="12"/>
  <c r="AF19" i="12"/>
  <c r="AE19" i="12"/>
  <c r="AD19" i="12"/>
  <c r="AG18" i="12"/>
  <c r="AF18" i="12"/>
  <c r="AE18" i="12"/>
  <c r="AD18" i="12"/>
  <c r="AG17" i="12"/>
  <c r="AF17" i="12"/>
  <c r="AE17" i="12"/>
  <c r="AD17" i="12"/>
  <c r="AG16" i="12"/>
  <c r="AF16" i="12"/>
  <c r="AE16" i="12"/>
  <c r="AD16" i="12"/>
  <c r="AG15" i="12"/>
  <c r="AF15" i="12"/>
  <c r="AE15" i="12"/>
  <c r="AD15" i="12"/>
  <c r="AG7" i="12"/>
  <c r="AF7" i="12"/>
  <c r="AE7" i="12"/>
  <c r="AD7" i="12"/>
  <c r="AG6" i="12"/>
  <c r="AF6" i="12"/>
  <c r="AE6" i="12"/>
  <c r="AD6" i="12"/>
  <c r="AG5" i="12"/>
  <c r="AF5" i="12"/>
  <c r="AE5" i="12"/>
  <c r="AD5" i="12"/>
  <c r="AG4" i="12"/>
  <c r="AF4" i="12"/>
  <c r="AE4" i="12"/>
  <c r="AD4" i="12"/>
  <c r="AG3" i="12"/>
  <c r="AF3" i="12"/>
  <c r="AE3" i="12"/>
  <c r="AD3" i="12"/>
  <c r="AG63" i="11"/>
  <c r="AF63" i="11"/>
  <c r="AE63" i="11"/>
  <c r="AD63" i="11"/>
  <c r="AG62" i="11"/>
  <c r="AF62" i="11"/>
  <c r="AE62" i="11"/>
  <c r="AD62" i="11"/>
  <c r="AG61" i="11"/>
  <c r="AF61" i="11"/>
  <c r="AE61" i="11"/>
  <c r="AD61" i="11"/>
  <c r="AG60" i="11"/>
  <c r="AF60" i="11"/>
  <c r="AE60" i="11"/>
  <c r="AD60" i="11"/>
  <c r="AG59" i="11"/>
  <c r="AF59" i="11"/>
  <c r="AE59" i="11"/>
  <c r="AD59" i="11"/>
  <c r="AG51" i="11"/>
  <c r="AF51" i="11"/>
  <c r="AE51" i="11"/>
  <c r="AD51" i="11"/>
  <c r="AG50" i="11"/>
  <c r="AG73" i="11" s="1"/>
  <c r="AF50" i="11"/>
  <c r="AE50" i="11"/>
  <c r="AD50" i="11"/>
  <c r="AG49" i="11"/>
  <c r="AF49" i="11"/>
  <c r="AE49" i="11"/>
  <c r="AD49" i="11"/>
  <c r="AG48" i="11"/>
  <c r="AF48" i="11"/>
  <c r="AE48" i="11"/>
  <c r="AD48" i="11"/>
  <c r="AG47" i="11"/>
  <c r="AF47" i="11"/>
  <c r="AE47" i="11"/>
  <c r="AD47" i="11"/>
  <c r="AG40" i="11"/>
  <c r="AF40" i="11"/>
  <c r="AE40" i="11"/>
  <c r="AD40" i="11"/>
  <c r="AG39" i="11"/>
  <c r="AF39" i="11"/>
  <c r="AE39" i="11"/>
  <c r="AD39" i="11"/>
  <c r="AG38" i="11"/>
  <c r="AF38" i="11"/>
  <c r="AE38" i="11"/>
  <c r="AD38" i="11"/>
  <c r="AG37" i="11"/>
  <c r="AF37" i="11"/>
  <c r="AE37" i="11"/>
  <c r="AD37" i="11"/>
  <c r="AG36" i="11"/>
  <c r="AF36" i="11"/>
  <c r="AE36" i="11"/>
  <c r="AD36" i="11"/>
  <c r="AG29" i="11"/>
  <c r="AF29" i="11"/>
  <c r="AE29" i="11"/>
  <c r="AD29" i="11"/>
  <c r="AG28" i="11"/>
  <c r="AF28" i="11"/>
  <c r="AE28" i="11"/>
  <c r="AD28" i="11"/>
  <c r="AG27" i="11"/>
  <c r="AF27" i="11"/>
  <c r="AE27" i="11"/>
  <c r="AD27" i="11"/>
  <c r="AG26" i="11"/>
  <c r="AF26" i="11"/>
  <c r="AE26" i="11"/>
  <c r="AD26" i="11"/>
  <c r="AG25" i="11"/>
  <c r="AF25" i="11"/>
  <c r="AE25" i="11"/>
  <c r="AD25" i="11"/>
  <c r="AG18" i="11"/>
  <c r="AF18" i="11"/>
  <c r="AE18" i="11"/>
  <c r="AD18" i="11"/>
  <c r="AG17" i="11"/>
  <c r="AF17" i="11"/>
  <c r="AE17" i="11"/>
  <c r="AD17" i="11"/>
  <c r="AG16" i="11"/>
  <c r="AF16" i="11"/>
  <c r="AE16" i="11"/>
  <c r="AD16" i="11"/>
  <c r="AG15" i="11"/>
  <c r="AF15" i="11"/>
  <c r="AE15" i="11"/>
  <c r="AD15" i="11"/>
  <c r="AG14" i="11"/>
  <c r="AF14" i="11"/>
  <c r="AE14" i="11"/>
  <c r="AD14" i="11"/>
  <c r="AG7" i="11"/>
  <c r="AF7" i="11"/>
  <c r="AE7" i="11"/>
  <c r="AD7" i="11"/>
  <c r="AG6" i="11"/>
  <c r="AF6" i="11"/>
  <c r="AE6" i="11"/>
  <c r="AD6" i="11"/>
  <c r="AG5" i="11"/>
  <c r="AF5" i="11"/>
  <c r="AE5" i="11"/>
  <c r="AD5" i="11"/>
  <c r="AG4" i="11"/>
  <c r="AF4" i="11"/>
  <c r="AE4" i="11"/>
  <c r="AD4" i="11"/>
  <c r="AG3" i="11"/>
  <c r="AF3" i="11"/>
  <c r="AE3" i="11"/>
  <c r="AD3" i="11"/>
  <c r="AD17" i="10"/>
  <c r="AG7" i="10"/>
  <c r="AG17" i="10" s="1"/>
  <c r="AF7" i="10"/>
  <c r="AF17" i="10" s="1"/>
  <c r="AE7" i="10"/>
  <c r="AE16" i="10" s="1"/>
  <c r="AD7" i="10"/>
  <c r="AG6" i="10"/>
  <c r="AG16" i="10" s="1"/>
  <c r="AF6" i="10"/>
  <c r="AF16" i="10" s="1"/>
  <c r="AE6" i="10"/>
  <c r="AD6" i="10"/>
  <c r="AD16" i="10" s="1"/>
  <c r="AG5" i="10"/>
  <c r="AG15" i="10" s="1"/>
  <c r="AF5" i="10"/>
  <c r="AF15" i="10" s="1"/>
  <c r="AE5" i="10"/>
  <c r="AE15" i="10" s="1"/>
  <c r="AD5" i="10"/>
  <c r="AD15" i="10" s="1"/>
  <c r="AG4" i="10"/>
  <c r="AG14" i="10" s="1"/>
  <c r="AF4" i="10"/>
  <c r="AF14" i="10" s="1"/>
  <c r="AE4" i="10"/>
  <c r="AE14" i="10" s="1"/>
  <c r="AD4" i="10"/>
  <c r="AD14" i="10" s="1"/>
  <c r="AG3" i="10"/>
  <c r="AG13" i="10" s="1"/>
  <c r="AF3" i="10"/>
  <c r="AF13" i="10" s="1"/>
  <c r="AE3" i="10"/>
  <c r="AE13" i="10" s="1"/>
  <c r="AD3" i="10"/>
  <c r="AD13" i="10" s="1"/>
  <c r="AG7" i="9"/>
  <c r="AF7" i="9"/>
  <c r="AE7" i="9"/>
  <c r="AD7" i="9"/>
  <c r="AG6" i="9"/>
  <c r="AF6" i="9"/>
  <c r="AE6" i="9"/>
  <c r="AD6" i="9"/>
  <c r="AG5" i="9"/>
  <c r="AF5" i="9"/>
  <c r="AE5" i="9"/>
  <c r="AD5" i="9"/>
  <c r="AG4" i="9"/>
  <c r="AF4" i="9"/>
  <c r="AE4" i="9"/>
  <c r="AD4" i="9"/>
  <c r="AG3" i="9"/>
  <c r="AF3" i="9"/>
  <c r="AE3" i="9"/>
  <c r="AD3" i="9"/>
  <c r="AG7" i="8"/>
  <c r="AF7" i="8"/>
  <c r="AE7" i="8"/>
  <c r="AD7" i="8"/>
  <c r="AG6" i="8"/>
  <c r="AF6" i="8"/>
  <c r="AE6" i="8"/>
  <c r="AD6" i="8"/>
  <c r="AG5" i="8"/>
  <c r="AF5" i="8"/>
  <c r="AE5" i="8"/>
  <c r="AD5" i="8"/>
  <c r="AG4" i="8"/>
  <c r="AF4" i="8"/>
  <c r="AE4" i="8"/>
  <c r="AD4" i="8"/>
  <c r="AG3" i="8"/>
  <c r="AF3" i="8"/>
  <c r="AE3" i="8"/>
  <c r="AD3" i="8"/>
  <c r="AG40" i="7"/>
  <c r="AF40" i="7"/>
  <c r="AE40" i="7"/>
  <c r="AD40" i="7"/>
  <c r="AG39" i="7"/>
  <c r="AF39" i="7"/>
  <c r="AE39" i="7"/>
  <c r="AD39" i="7"/>
  <c r="AG38" i="7"/>
  <c r="AF38" i="7"/>
  <c r="AE38" i="7"/>
  <c r="AD38" i="7"/>
  <c r="AG37" i="7"/>
  <c r="AF37" i="7"/>
  <c r="AE37" i="7"/>
  <c r="AD37" i="7"/>
  <c r="AG36" i="7"/>
  <c r="AF36" i="7"/>
  <c r="AE36" i="7"/>
  <c r="AD36" i="7"/>
  <c r="AG29" i="7"/>
  <c r="AF29" i="7"/>
  <c r="AE29" i="7"/>
  <c r="AD29" i="7"/>
  <c r="AG28" i="7"/>
  <c r="AF28" i="7"/>
  <c r="AE28" i="7"/>
  <c r="AD28" i="7"/>
  <c r="AG27" i="7"/>
  <c r="AF27" i="7"/>
  <c r="AE27" i="7"/>
  <c r="AD27" i="7"/>
  <c r="AG26" i="7"/>
  <c r="AF26" i="7"/>
  <c r="AE26" i="7"/>
  <c r="AD26" i="7"/>
  <c r="AG25" i="7"/>
  <c r="AF25" i="7"/>
  <c r="AE25" i="7"/>
  <c r="AD25" i="7"/>
  <c r="AG18" i="7"/>
  <c r="AF18" i="7"/>
  <c r="AE18" i="7"/>
  <c r="AD18" i="7"/>
  <c r="AG17" i="7"/>
  <c r="AF17" i="7"/>
  <c r="AE17" i="7"/>
  <c r="AD17" i="7"/>
  <c r="AG16" i="7"/>
  <c r="AF16" i="7"/>
  <c r="AE16" i="7"/>
  <c r="AD16" i="7"/>
  <c r="AG15" i="7"/>
  <c r="AF15" i="7"/>
  <c r="AE15" i="7"/>
  <c r="AD15" i="7"/>
  <c r="AG14" i="7"/>
  <c r="AF14" i="7"/>
  <c r="AE14" i="7"/>
  <c r="AD14" i="7"/>
  <c r="AG7" i="7"/>
  <c r="AF7" i="7"/>
  <c r="AE7" i="7"/>
  <c r="AD7" i="7"/>
  <c r="AG6" i="7"/>
  <c r="AF6" i="7"/>
  <c r="AE6" i="7"/>
  <c r="AD6" i="7"/>
  <c r="AG5" i="7"/>
  <c r="AF5" i="7"/>
  <c r="AE5" i="7"/>
  <c r="AD5" i="7"/>
  <c r="AG4" i="7"/>
  <c r="AF4" i="7"/>
  <c r="AE4" i="7"/>
  <c r="AD4" i="7"/>
  <c r="AG3" i="7"/>
  <c r="AF3" i="7"/>
  <c r="AE3" i="7"/>
  <c r="AD3" i="7"/>
  <c r="AG31" i="6"/>
  <c r="AF31" i="6"/>
  <c r="AE31" i="6"/>
  <c r="AD31" i="6"/>
  <c r="AG30" i="6"/>
  <c r="AF30" i="6"/>
  <c r="AE30" i="6"/>
  <c r="AD30" i="6"/>
  <c r="AG29" i="6"/>
  <c r="AF29" i="6"/>
  <c r="AE29" i="6"/>
  <c r="AD29" i="6"/>
  <c r="AG28" i="6"/>
  <c r="AF28" i="6"/>
  <c r="AE28" i="6"/>
  <c r="AD28" i="6"/>
  <c r="AG27" i="6"/>
  <c r="AF27" i="6"/>
  <c r="AE27" i="6"/>
  <c r="AD27" i="6"/>
  <c r="AG19" i="6"/>
  <c r="AF19" i="6"/>
  <c r="AE19" i="6"/>
  <c r="AD19" i="6"/>
  <c r="AG18" i="6"/>
  <c r="AF18" i="6"/>
  <c r="AE18" i="6"/>
  <c r="AD18" i="6"/>
  <c r="AG17" i="6"/>
  <c r="AF17" i="6"/>
  <c r="AE17" i="6"/>
  <c r="AD17" i="6"/>
  <c r="AG16" i="6"/>
  <c r="AF16" i="6"/>
  <c r="AE16" i="6"/>
  <c r="AD16" i="6"/>
  <c r="AG15" i="6"/>
  <c r="AF15" i="6"/>
  <c r="AE15" i="6"/>
  <c r="AD15" i="6"/>
  <c r="AG7" i="6"/>
  <c r="AF7" i="6"/>
  <c r="AE7" i="6"/>
  <c r="AD7" i="6"/>
  <c r="AG6" i="6"/>
  <c r="AF6" i="6"/>
  <c r="AE6" i="6"/>
  <c r="AD6" i="6"/>
  <c r="AG5" i="6"/>
  <c r="AF5" i="6"/>
  <c r="AE5" i="6"/>
  <c r="AD5" i="6"/>
  <c r="AG4" i="6"/>
  <c r="AF4" i="6"/>
  <c r="AE4" i="6"/>
  <c r="AD4" i="6"/>
  <c r="AG3" i="6"/>
  <c r="AF3" i="6"/>
  <c r="AE3" i="6"/>
  <c r="AD3" i="6"/>
  <c r="AG7" i="4"/>
  <c r="AF7" i="4"/>
  <c r="AE7" i="4"/>
  <c r="AD7" i="4"/>
  <c r="AG6" i="4"/>
  <c r="AF6" i="4"/>
  <c r="AE6" i="4"/>
  <c r="AD6" i="4"/>
  <c r="AG5" i="4"/>
  <c r="AF5" i="4"/>
  <c r="AE5" i="4"/>
  <c r="AD5" i="4"/>
  <c r="AG4" i="4"/>
  <c r="AF4" i="4"/>
  <c r="AE4" i="4"/>
  <c r="AD4" i="4"/>
  <c r="AG3" i="4"/>
  <c r="AF3" i="4"/>
  <c r="AE3" i="4"/>
  <c r="AD3" i="4"/>
  <c r="AG19" i="3"/>
  <c r="AF19" i="3"/>
  <c r="AE19" i="3"/>
  <c r="AD19" i="3"/>
  <c r="AG18" i="3"/>
  <c r="AF18" i="3"/>
  <c r="AE18" i="3"/>
  <c r="AD18" i="3"/>
  <c r="AG17" i="3"/>
  <c r="AF17" i="3"/>
  <c r="AE17" i="3"/>
  <c r="AD17" i="3"/>
  <c r="AG16" i="3"/>
  <c r="AF16" i="3"/>
  <c r="AE16" i="3"/>
  <c r="AD16" i="3"/>
  <c r="AG15" i="3"/>
  <c r="AF15" i="3"/>
  <c r="AE15" i="3"/>
  <c r="AD15" i="3"/>
  <c r="AG7" i="3"/>
  <c r="AF7" i="3"/>
  <c r="AE7" i="3"/>
  <c r="AD7" i="3"/>
  <c r="AG6" i="3"/>
  <c r="AF6" i="3"/>
  <c r="AE6" i="3"/>
  <c r="AD6" i="3"/>
  <c r="AG5" i="3"/>
  <c r="AF5" i="3"/>
  <c r="AE5" i="3"/>
  <c r="AD5" i="3"/>
  <c r="AG4" i="3"/>
  <c r="AF4" i="3"/>
  <c r="AE4" i="3"/>
  <c r="AD4" i="3"/>
  <c r="AG3" i="3"/>
  <c r="AF3" i="3"/>
  <c r="AE3" i="3"/>
  <c r="AD3" i="3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F40" i="12" l="1"/>
  <c r="AF42" i="12"/>
  <c r="AF44" i="12"/>
  <c r="AD10" i="17"/>
  <c r="AD22" i="3"/>
  <c r="AD9" i="4"/>
  <c r="AD34" i="6"/>
  <c r="AD8" i="11"/>
  <c r="AD19" i="11"/>
  <c r="AD30" i="11"/>
  <c r="AG41" i="12"/>
  <c r="AG43" i="12"/>
  <c r="G34" i="21"/>
  <c r="AD36" i="15"/>
  <c r="G17" i="22"/>
  <c r="AD40" i="12"/>
  <c r="AD42" i="12"/>
  <c r="AD44" i="12"/>
  <c r="AD20" i="12"/>
  <c r="AD43" i="12"/>
  <c r="AD32" i="12"/>
  <c r="AE8" i="21"/>
  <c r="AE16" i="21"/>
  <c r="AE24" i="21"/>
  <c r="AE32" i="21"/>
  <c r="G18" i="22"/>
  <c r="K34" i="21"/>
  <c r="K37" i="21" s="1"/>
  <c r="AE7" i="21"/>
  <c r="AE15" i="21"/>
  <c r="AE23" i="21"/>
  <c r="AE31" i="21"/>
  <c r="F39" i="21"/>
  <c r="AD10" i="8"/>
  <c r="AD52" i="11"/>
  <c r="AD70" i="11"/>
  <c r="AD72" i="11"/>
  <c r="AD64" i="11"/>
  <c r="AG40" i="12"/>
  <c r="AG42" i="12"/>
  <c r="AG44" i="12"/>
  <c r="O34" i="21"/>
  <c r="O37" i="21" s="1"/>
  <c r="AE6" i="21"/>
  <c r="AE14" i="21"/>
  <c r="AE22" i="21"/>
  <c r="AE30" i="21"/>
  <c r="G37" i="21"/>
  <c r="AD9" i="2"/>
  <c r="AD22" i="7"/>
  <c r="AD10" i="9"/>
  <c r="AE70" i="11"/>
  <c r="AE72" i="11"/>
  <c r="AE74" i="11"/>
  <c r="S34" i="21"/>
  <c r="S37" i="21" s="1"/>
  <c r="AE5" i="21"/>
  <c r="AE13" i="21"/>
  <c r="AE21" i="21"/>
  <c r="AE29" i="21"/>
  <c r="AF71" i="11"/>
  <c r="AF73" i="11"/>
  <c r="AF70" i="11"/>
  <c r="AF72" i="11"/>
  <c r="AF74" i="11"/>
  <c r="AE40" i="12"/>
  <c r="AE42" i="12"/>
  <c r="AE44" i="12"/>
  <c r="AE41" i="12"/>
  <c r="AE43" i="12"/>
  <c r="W34" i="21"/>
  <c r="W37" i="21" s="1"/>
  <c r="AE4" i="21"/>
  <c r="AE12" i="21"/>
  <c r="AE20" i="21"/>
  <c r="AE28" i="21"/>
  <c r="AG71" i="11"/>
  <c r="AG70" i="11"/>
  <c r="AG72" i="11"/>
  <c r="AG75" i="11" s="1"/>
  <c r="AG74" i="11"/>
  <c r="AF41" i="12"/>
  <c r="AF43" i="12"/>
  <c r="AD22" i="14"/>
  <c r="AE3" i="21"/>
  <c r="AE11" i="21"/>
  <c r="AE19" i="21"/>
  <c r="AE27" i="21"/>
  <c r="AE10" i="21"/>
  <c r="AE18" i="21"/>
  <c r="AE26" i="21"/>
  <c r="AD43" i="7"/>
  <c r="AD74" i="11"/>
  <c r="AD71" i="11"/>
  <c r="AD73" i="11"/>
  <c r="AE17" i="10"/>
  <c r="AE71" i="11"/>
  <c r="AE73" i="11"/>
  <c r="AD101" i="16"/>
  <c r="AD34" i="18"/>
  <c r="C34" i="21"/>
  <c r="C37" i="21" s="1"/>
  <c r="AE9" i="21"/>
  <c r="AE17" i="21"/>
  <c r="AE25" i="21"/>
  <c r="R17" i="22"/>
  <c r="H30" i="23"/>
  <c r="E18" i="23"/>
  <c r="AD41" i="12"/>
  <c r="AD8" i="12"/>
  <c r="AA34" i="21"/>
  <c r="AD41" i="11"/>
  <c r="H3" i="22"/>
  <c r="I3" i="22" s="1"/>
  <c r="AD45" i="12" l="1"/>
  <c r="AF75" i="11"/>
  <c r="AE34" i="21"/>
  <c r="C38" i="21"/>
  <c r="F40" i="21" s="1"/>
  <c r="AD75" i="11"/>
  <c r="AE75" i="11"/>
  <c r="AA37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3" authorId="0" shapeId="0" xr:uid="{00000000-0006-0000-0E00-000001000000}">
      <text>
        <r>
          <rPr>
            <sz val="12"/>
            <color rgb="FF000000"/>
            <rFont val="Calibri"/>
          </rPr>
          <t xml:space="preserve">only one MM picked from well
</t>
        </r>
      </text>
    </comment>
    <comment ref="Z36" authorId="0" shapeId="0" xr:uid="{00000000-0006-0000-0E00-000003000000}">
      <text>
        <r>
          <rPr>
            <sz val="12"/>
            <color rgb="FF000000"/>
            <rFont val="Calibri"/>
          </rPr>
          <t>cool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" authorId="0" shapeId="0" xr:uid="{00000000-0006-0000-1100-000001000000}">
      <text>
        <r>
          <rPr>
            <sz val="12"/>
            <color rgb="FF000000"/>
            <rFont val="Calibri"/>
          </rPr>
          <t>bizarre shape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7" authorId="0" shapeId="0" xr:uid="{00000000-0006-0000-1600-000001000000}">
      <text>
        <r>
          <rPr>
            <sz val="12"/>
            <color rgb="FF000000"/>
            <rFont val="Calibri"/>
            <family val="2"/>
          </rPr>
          <t xml:space="preserve">Was this the smallest fraction picked? Because tray 6.3 has lots of MMs &lt;100 um (as small as ~20 um)
</t>
        </r>
        <r>
          <rPr>
            <sz val="12"/>
            <color rgb="FF000000"/>
            <rFont val="Calibri"/>
            <family val="2"/>
          </rPr>
          <t xml:space="preserve">	-Angus Rogers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7" authorId="0" shapeId="0" xr:uid="{00000000-0006-0000-1800-000001000000}">
      <text>
        <r>
          <rPr>
            <sz val="12"/>
            <color rgb="FF000000"/>
            <rFont val="Calibri"/>
          </rPr>
          <t xml:space="preserve">was crushed when placed on glass puck
</t>
        </r>
      </text>
    </comment>
    <comment ref="AE8" authorId="0" shapeId="0" xr:uid="{00000000-0006-0000-1800-000002000000}">
      <text>
        <r>
          <rPr>
            <sz val="12"/>
            <color rgb="FF000000"/>
            <rFont val="Calibri"/>
          </rPr>
          <t xml:space="preserve">two small mms
a/b
</t>
        </r>
      </text>
    </comment>
    <comment ref="F9" authorId="0" shapeId="0" xr:uid="{00000000-0006-0000-1800-000003000000}">
      <text>
        <r>
          <rPr>
            <sz val="12"/>
            <color rgb="FF000000"/>
            <rFont val="Calibri"/>
          </rPr>
          <t xml:space="preserve">has nice metal bead in it
</t>
        </r>
      </text>
    </comment>
    <comment ref="G12" authorId="0" shapeId="0" xr:uid="{00000000-0006-0000-1800-000004000000}">
      <text>
        <r>
          <rPr>
            <sz val="12"/>
            <color rgb="FF000000"/>
            <rFont val="Calibri"/>
          </rPr>
          <t xml:space="preserve">1 s type 1 I type
</t>
        </r>
      </text>
    </comment>
    <comment ref="G15" authorId="0" shapeId="0" xr:uid="{00000000-0006-0000-1800-000005000000}">
      <text>
        <r>
          <rPr>
            <sz val="12"/>
            <color rgb="FF000000"/>
            <rFont val="Calibri"/>
          </rPr>
          <t xml:space="preserve">E2b - impact melt clast </t>
        </r>
      </text>
    </comment>
    <comment ref="AA17" authorId="0" shapeId="0" xr:uid="{00000000-0006-0000-1800-000006000000}">
      <text>
        <r>
          <rPr>
            <sz val="12"/>
            <color rgb="FF000000"/>
            <rFont val="Calibri"/>
          </rPr>
          <t xml:space="preserve">probs not - framboidal Feoxide with sedimentary grains embedded?
</t>
        </r>
      </text>
    </comment>
    <comment ref="AB17" authorId="0" shapeId="0" xr:uid="{00000000-0006-0000-1800-000007000000}">
      <text>
        <r>
          <rPr>
            <sz val="12"/>
            <color rgb="FF000000"/>
            <rFont val="Calibri"/>
          </rPr>
          <t xml:space="preserve">ilmenite
</t>
        </r>
      </text>
    </comment>
    <comment ref="AC17" authorId="0" shapeId="0" xr:uid="{00000000-0006-0000-1800-000008000000}">
      <text>
        <r>
          <rPr>
            <sz val="12"/>
            <color rgb="FF000000"/>
            <rFont val="Calibri"/>
          </rPr>
          <t xml:space="preserve">void in round boi
</t>
        </r>
      </text>
    </comment>
    <comment ref="AD17" authorId="0" shapeId="0" xr:uid="{00000000-0006-0000-1800-000009000000}">
      <text>
        <r>
          <rPr>
            <sz val="12"/>
            <color rgb="FF000000"/>
            <rFont val="Calibri"/>
          </rPr>
          <t xml:space="preserve">ilmenite again?
Quench-crystallised texture in darkened lined portions and centre (see spectrum 26)
Exsolution lamellae on some grains (see zoom in)
Original melt shows rapid crystallisation below the eutectic/solidus
</t>
        </r>
      </text>
    </comment>
    <comment ref="AE17" authorId="0" shapeId="0" xr:uid="{00000000-0006-0000-1800-00000A000000}">
      <text>
        <r>
          <rPr>
            <sz val="12"/>
            <color rgb="FF000000"/>
            <rFont val="Calibri"/>
          </rPr>
          <t xml:space="preserve">C3a &amp; b - ilmenite
.
</t>
        </r>
      </text>
    </comment>
    <comment ref="Q19" authorId="0" shapeId="0" xr:uid="{00000000-0006-0000-1800-00000B000000}">
      <text>
        <r>
          <rPr>
            <sz val="12"/>
            <color rgb="FF000000"/>
            <rFont val="Calibri"/>
          </rPr>
          <t>Good MM</t>
        </r>
      </text>
    </comment>
    <comment ref="P21" authorId="0" shapeId="0" xr:uid="{00000000-0006-0000-1800-00000C000000}">
      <text>
        <r>
          <rPr>
            <sz val="12"/>
            <color rgb="FF000000"/>
            <rFont val="Calibri"/>
          </rPr>
          <t>glassy?</t>
        </r>
      </text>
    </comment>
  </commentList>
</comments>
</file>

<file path=xl/sharedStrings.xml><?xml version="1.0" encoding="utf-8"?>
<sst xmlns="http://schemas.openxmlformats.org/spreadsheetml/2006/main" count="5367" uniqueCount="707">
  <si>
    <t>Tray 1.1</t>
  </si>
  <si>
    <t>Tray 1</t>
  </si>
  <si>
    <t>2000-500</t>
  </si>
  <si>
    <t>Type</t>
  </si>
  <si>
    <t>500-250</t>
  </si>
  <si>
    <t>250-125</t>
  </si>
  <si>
    <t>125-38</t>
  </si>
  <si>
    <t>&lt;38</t>
  </si>
  <si>
    <t>Size</t>
  </si>
  <si>
    <t>Size Fraction</t>
  </si>
  <si>
    <t>Count</t>
  </si>
  <si>
    <t>i Count</t>
  </si>
  <si>
    <t>s Count</t>
  </si>
  <si>
    <t>g Count</t>
  </si>
  <si>
    <t>A</t>
  </si>
  <si>
    <t>Exp 2 (i)</t>
  </si>
  <si>
    <t>Exp 2 (ii)</t>
  </si>
  <si>
    <t>i</t>
  </si>
  <si>
    <t>s</t>
  </si>
  <si>
    <t>Exp 3</t>
  </si>
  <si>
    <t>Exp 4</t>
  </si>
  <si>
    <t>&lt;50</t>
  </si>
  <si>
    <t>Exp 5</t>
  </si>
  <si>
    <t>Exp 6</t>
  </si>
  <si>
    <t>Exp 7</t>
  </si>
  <si>
    <t>Exp 8</t>
  </si>
  <si>
    <t>Exp 9 (i)</t>
  </si>
  <si>
    <t>Exp 9 (ii)</t>
  </si>
  <si>
    <t>Exp 11a</t>
  </si>
  <si>
    <t>Exp 11b</t>
  </si>
  <si>
    <t>Exp 12 (i)</t>
  </si>
  <si>
    <t>Exp 12 (ii)</t>
  </si>
  <si>
    <t>B</t>
  </si>
  <si>
    <t>50-125</t>
  </si>
  <si>
    <t>C</t>
  </si>
  <si>
    <t>u</t>
  </si>
  <si>
    <t>125-250</t>
  </si>
  <si>
    <t>X</t>
  </si>
  <si>
    <t>D</t>
  </si>
  <si>
    <t>250-500</t>
  </si>
  <si>
    <t>E</t>
  </si>
  <si>
    <t>&gt;500</t>
  </si>
  <si>
    <t>F</t>
  </si>
  <si>
    <t>G</t>
  </si>
  <si>
    <t>i x 3</t>
  </si>
  <si>
    <t>3G 3</t>
  </si>
  <si>
    <t>3G 2</t>
  </si>
  <si>
    <t>H</t>
  </si>
  <si>
    <t>TOTAL</t>
  </si>
  <si>
    <t>COMPLETED PVP</t>
  </si>
  <si>
    <t>Tray 1.6</t>
  </si>
  <si>
    <t>Tray 1.4</t>
  </si>
  <si>
    <t>Tray 1.2</t>
  </si>
  <si>
    <t>g</t>
  </si>
  <si>
    <t>Tray 1.3</t>
  </si>
  <si>
    <t>372*</t>
  </si>
  <si>
    <t>i x 2</t>
  </si>
  <si>
    <t>5H 2</t>
  </si>
  <si>
    <t>F1 #2</t>
  </si>
  <si>
    <t>Tray 1.7</t>
  </si>
  <si>
    <t>Tray 1.5</t>
  </si>
  <si>
    <t>Tray 3.1</t>
  </si>
  <si>
    <t>"Tray 5"</t>
  </si>
  <si>
    <t>i - SEM</t>
  </si>
  <si>
    <t>Tray 3.6</t>
  </si>
  <si>
    <t>"Tray 1"</t>
  </si>
  <si>
    <t>s - SEM</t>
  </si>
  <si>
    <t>45*</t>
  </si>
  <si>
    <t>t - SEM</t>
  </si>
  <si>
    <t>N</t>
  </si>
  <si>
    <t>Tray 3.7</t>
  </si>
  <si>
    <t>"Tray 2"</t>
  </si>
  <si>
    <t>Tray 3.2</t>
  </si>
  <si>
    <t>i (+ 2nd u)</t>
  </si>
  <si>
    <t>SEM</t>
  </si>
  <si>
    <t xml:space="preserve">s + i - SEM </t>
  </si>
  <si>
    <t>Tray 6.1</t>
  </si>
  <si>
    <t>x</t>
  </si>
  <si>
    <t>i x 2 - SEM</t>
  </si>
  <si>
    <t xml:space="preserve"> - SEM</t>
  </si>
  <si>
    <t>Tray 3.8</t>
  </si>
  <si>
    <t>2E 2 - i</t>
  </si>
  <si>
    <t>Tray 3.3</t>
  </si>
  <si>
    <t>Tray 2</t>
  </si>
  <si>
    <t>Tray 6.2</t>
  </si>
  <si>
    <t>TOTALS</t>
  </si>
  <si>
    <t>g - SEM</t>
  </si>
  <si>
    <t>Tray 3.4</t>
  </si>
  <si>
    <t>"Tray 3"</t>
  </si>
  <si>
    <t>Tray 3.5</t>
  </si>
  <si>
    <t>"Tray 4"</t>
  </si>
  <si>
    <t>s x 2 - SEM</t>
  </si>
  <si>
    <t>3E 2</t>
  </si>
  <si>
    <t>3H 2</t>
  </si>
  <si>
    <t>4C 2</t>
  </si>
  <si>
    <t>TOTAL COUNT</t>
  </si>
  <si>
    <t>Tray 6.3</t>
  </si>
  <si>
    <t>s x 2</t>
  </si>
  <si>
    <t>3C 2</t>
  </si>
  <si>
    <t>7A 2</t>
  </si>
  <si>
    <t>8G 2</t>
  </si>
  <si>
    <t>10A 2</t>
  </si>
  <si>
    <t>11F 2</t>
  </si>
  <si>
    <t>Tray 6.4</t>
  </si>
  <si>
    <t>H2 2</t>
  </si>
  <si>
    <t>H3 2</t>
  </si>
  <si>
    <t>Tray 6.5</t>
  </si>
  <si>
    <t>Tray 10.1</t>
  </si>
  <si>
    <t>g + i</t>
  </si>
  <si>
    <t>4F 2</t>
  </si>
  <si>
    <t>5E 2</t>
  </si>
  <si>
    <t>7F 2</t>
  </si>
  <si>
    <t>7G 2</t>
  </si>
  <si>
    <t>Tray 10.2</t>
  </si>
  <si>
    <t>i stub</t>
  </si>
  <si>
    <t>g stub</t>
  </si>
  <si>
    <t>stub</t>
  </si>
  <si>
    <t>u stub</t>
  </si>
  <si>
    <t>Tray 10.3</t>
  </si>
  <si>
    <t>*some are removed and put on stubs TBC</t>
  </si>
  <si>
    <t>Tray 10.4</t>
  </si>
  <si>
    <t>Tray 10.5</t>
  </si>
  <si>
    <t>STUB 1</t>
  </si>
  <si>
    <t xml:space="preserve">x x </t>
  </si>
  <si>
    <t>3A 2</t>
  </si>
  <si>
    <t>STUB 2</t>
  </si>
  <si>
    <t>x x</t>
  </si>
  <si>
    <t>4A 2</t>
  </si>
  <si>
    <t>STUB 3</t>
  </si>
  <si>
    <t>Tray 12.1</t>
  </si>
  <si>
    <t>Tray 12.2</t>
  </si>
  <si>
    <t>i,s</t>
  </si>
  <si>
    <t>2 x i</t>
  </si>
  <si>
    <t>8D 2</t>
  </si>
  <si>
    <t>i,i</t>
  </si>
  <si>
    <t>c</t>
  </si>
  <si>
    <t>3F 2</t>
  </si>
  <si>
    <t>Notes</t>
  </si>
  <si>
    <t>Not sure</t>
  </si>
  <si>
    <t>Tray 12.3</t>
  </si>
  <si>
    <t>Tray 12.4</t>
  </si>
  <si>
    <t>Tray 12.5</t>
  </si>
  <si>
    <t xml:space="preserve"> x2</t>
  </si>
  <si>
    <t>7C</t>
  </si>
  <si>
    <t>Nullarbor Micrometeorite Samples</t>
  </si>
  <si>
    <t>Sieved Weights (g in micron range)</t>
  </si>
  <si>
    <t>Lat</t>
  </si>
  <si>
    <t>Long</t>
  </si>
  <si>
    <t>Collected Weight (g)</t>
  </si>
  <si>
    <t>Site Description</t>
  </si>
  <si>
    <t>Collected by</t>
  </si>
  <si>
    <t>Dry Total (g)</t>
  </si>
  <si>
    <t>water (g)</t>
  </si>
  <si>
    <t>Water %</t>
  </si>
  <si>
    <t>&gt;2000</t>
  </si>
  <si>
    <t>250-125 (sub)</t>
  </si>
  <si>
    <t>250-125 (res)</t>
  </si>
  <si>
    <t>Picked total mass</t>
  </si>
  <si>
    <t>Exp 1a</t>
  </si>
  <si>
    <t>30 31 06.2</t>
  </si>
  <si>
    <t>131 51 07.1</t>
  </si>
  <si>
    <t>Cracks in Lmst Pavement</t>
  </si>
  <si>
    <t>Al</t>
  </si>
  <si>
    <t>Exp 1b</t>
  </si>
  <si>
    <t>as above</t>
  </si>
  <si>
    <t>Gravel on Lmst Pavement</t>
  </si>
  <si>
    <t>Exp 1c</t>
  </si>
  <si>
    <t>Soil away (control) from Lmst</t>
  </si>
  <si>
    <t>Exp 2</t>
  </si>
  <si>
    <t>Andy</t>
  </si>
  <si>
    <t>30 34 07.6</t>
  </si>
  <si>
    <t>131 49 32.1</t>
  </si>
  <si>
    <t>Residual wind ridge</t>
  </si>
  <si>
    <t>30 36 08.5</t>
  </si>
  <si>
    <t>131 46 31.8</t>
  </si>
  <si>
    <t>-</t>
  </si>
  <si>
    <t>Not Collected</t>
  </si>
  <si>
    <t>30 35 00.4</t>
  </si>
  <si>
    <t>131 46 33.4</t>
  </si>
  <si>
    <t>Andy &amp; Al</t>
  </si>
  <si>
    <t>30 35 18.3</t>
  </si>
  <si>
    <t>131 45 53.1</t>
  </si>
  <si>
    <t>30 34 55.7</t>
  </si>
  <si>
    <t>131 46 00.1</t>
  </si>
  <si>
    <t>30 34 54.8</t>
  </si>
  <si>
    <t>131 45 52.8</t>
  </si>
  <si>
    <t>Clay pan with mud cracks</t>
  </si>
  <si>
    <t>Exp 9 (2 bags)</t>
  </si>
  <si>
    <t>30 34 59.4</t>
  </si>
  <si>
    <t>131 45 57.1</t>
  </si>
  <si>
    <t>Exp 10 (2 bags)</t>
  </si>
  <si>
    <t>30 33 11.3</t>
  </si>
  <si>
    <t>131 49 09.6</t>
  </si>
  <si>
    <t>Sand Dune</t>
  </si>
  <si>
    <t>Experiment</t>
  </si>
  <si>
    <t>Location</t>
  </si>
  <si>
    <t>30 32 58.7</t>
  </si>
  <si>
    <t>131 49 08.7</t>
  </si>
  <si>
    <t>No of MM</t>
  </si>
  <si>
    <t>Gangue (g)</t>
  </si>
  <si>
    <t>MM/kg</t>
  </si>
  <si>
    <t>As Above</t>
  </si>
  <si>
    <t>Gange (g)</t>
  </si>
  <si>
    <t>TOTAL MM/kg</t>
  </si>
  <si>
    <t>Cryptogrammic soil</t>
  </si>
  <si>
    <t>EXP 01a</t>
  </si>
  <si>
    <t>Cracks in Lmst Pavement (crack)</t>
  </si>
  <si>
    <t>Exp 12 (2 bags)</t>
  </si>
  <si>
    <t>30 38 22.9</t>
  </si>
  <si>
    <t>131 55 21.2</t>
  </si>
  <si>
    <t>EXP 01b</t>
  </si>
  <si>
    <t>Gravel on Lmst Pavement (bowl)</t>
  </si>
  <si>
    <t>EXP 01c</t>
  </si>
  <si>
    <t>EXP 02</t>
  </si>
  <si>
    <t>Lat and long given in DMS</t>
  </si>
  <si>
    <t>use this to convert to DD</t>
  </si>
  <si>
    <t>https://www.latlong.net/degrees-minutes-seconds-to-decimal-degrees</t>
  </si>
  <si>
    <t>EXp 9 tot</t>
  </si>
  <si>
    <t>EXP 03</t>
  </si>
  <si>
    <t>EXP 04</t>
  </si>
  <si>
    <t>EXP 05</t>
  </si>
  <si>
    <t>EXP 06</t>
  </si>
  <si>
    <t>EXP 07</t>
  </si>
  <si>
    <t>EXP 08</t>
  </si>
  <si>
    <t>EXP 09</t>
  </si>
  <si>
    <t>EXP 10</t>
  </si>
  <si>
    <t>EXP 11a</t>
  </si>
  <si>
    <t>EXP 11b</t>
  </si>
  <si>
    <t>EXP 12</t>
  </si>
  <si>
    <t>Total Dry Weight (g)</t>
  </si>
  <si>
    <t>Picked Weight (g)</t>
  </si>
  <si>
    <t>500 - 2000</t>
  </si>
  <si>
    <t>250 - 500</t>
  </si>
  <si>
    <t>125 - 250</t>
  </si>
  <si>
    <t>Total MMs</t>
  </si>
  <si>
    <t>abundance (MM/kg)</t>
  </si>
  <si>
    <t>Year</t>
  </si>
  <si>
    <t>Source</t>
  </si>
  <si>
    <t>Experiment #</t>
  </si>
  <si>
    <t>Aeolian Trap</t>
  </si>
  <si>
    <t>Stub # (cont)</t>
  </si>
  <si>
    <t>Grid #</t>
  </si>
  <si>
    <t>MM CODE</t>
  </si>
  <si>
    <t>Short Code</t>
  </si>
  <si>
    <t>TYPE</t>
  </si>
  <si>
    <t>Diameter</t>
  </si>
  <si>
    <t>Size fracitons</t>
  </si>
  <si>
    <t>(eg. 2017)</t>
  </si>
  <si>
    <t>(eg. NUL/SPC/TCK)</t>
  </si>
  <si>
    <t>(eg. Exp 01)</t>
  </si>
  <si>
    <t>(eg. Crack)</t>
  </si>
  <si>
    <t>(eg. 500 - 2000)</t>
  </si>
  <si>
    <t>(1, 2, 3, 4...)</t>
  </si>
  <si>
    <t>(eg. 1A)</t>
  </si>
  <si>
    <t>17NUL10cI_1_A1</t>
  </si>
  <si>
    <t>Stub + Grid</t>
  </si>
  <si>
    <t>(eg. iron)</t>
  </si>
  <si>
    <t>(um)</t>
  </si>
  <si>
    <t>I</t>
  </si>
  <si>
    <t>NUL</t>
  </si>
  <si>
    <t>Exp 10</t>
  </si>
  <si>
    <t>Sand dune</t>
  </si>
  <si>
    <t>250 -500</t>
  </si>
  <si>
    <t>A1</t>
  </si>
  <si>
    <t>1_A1</t>
  </si>
  <si>
    <t>Glassy</t>
  </si>
  <si>
    <t>II</t>
  </si>
  <si>
    <t>A2</t>
  </si>
  <si>
    <t>17NUL10cI_1_A2</t>
  </si>
  <si>
    <t>1_A2</t>
  </si>
  <si>
    <t>III</t>
  </si>
  <si>
    <t>A3</t>
  </si>
  <si>
    <t>17NUL10cI_1_A3</t>
  </si>
  <si>
    <t>1_A3</t>
  </si>
  <si>
    <t>38 - 125</t>
  </si>
  <si>
    <t>IV</t>
  </si>
  <si>
    <t>A4</t>
  </si>
  <si>
    <t>17NUL10cI_1_A4</t>
  </si>
  <si>
    <t>1_A4</t>
  </si>
  <si>
    <t>V</t>
  </si>
  <si>
    <t>TOTAL MMs</t>
  </si>
  <si>
    <t>A5</t>
  </si>
  <si>
    <t>17NUL10cI_1_A5</t>
  </si>
  <si>
    <t>1_A5</t>
  </si>
  <si>
    <t>A6</t>
  </si>
  <si>
    <t>17NUL10cI_1_A6</t>
  </si>
  <si>
    <t>1_A6</t>
  </si>
  <si>
    <t>Crack</t>
  </si>
  <si>
    <t>B1</t>
  </si>
  <si>
    <t>17NUL10cI_1_B1</t>
  </si>
  <si>
    <t>1_B1</t>
  </si>
  <si>
    <t>Terra</t>
  </si>
  <si>
    <t>Bowl</t>
  </si>
  <si>
    <t>b</t>
  </si>
  <si>
    <t>B2</t>
  </si>
  <si>
    <t>17NUL10cI_1_B2</t>
  </si>
  <si>
    <t>1_B2</t>
  </si>
  <si>
    <t>Control</t>
  </si>
  <si>
    <t>*</t>
  </si>
  <si>
    <t xml:space="preserve">* values </t>
  </si>
  <si>
    <t>B3</t>
  </si>
  <si>
    <t>17NUL10cI_1_B3</t>
  </si>
  <si>
    <t>1_B3</t>
  </si>
  <si>
    <t>Dune</t>
  </si>
  <si>
    <t>d</t>
  </si>
  <si>
    <t>B4</t>
  </si>
  <si>
    <t>17NUL10cI_1_B4</t>
  </si>
  <si>
    <t>1_B4</t>
  </si>
  <si>
    <t>Crypto soil</t>
  </si>
  <si>
    <t>y</t>
  </si>
  <si>
    <t>B5</t>
  </si>
  <si>
    <t>17NUL10cI_1_B5</t>
  </si>
  <si>
    <t>1_B5</t>
  </si>
  <si>
    <t>clay pan</t>
  </si>
  <si>
    <t>p</t>
  </si>
  <si>
    <t>B6</t>
  </si>
  <si>
    <t>17NUL10cI_1_B6</t>
  </si>
  <si>
    <t>1_B6</t>
  </si>
  <si>
    <t>wind ridge</t>
  </si>
  <si>
    <t>r</t>
  </si>
  <si>
    <t>C1</t>
  </si>
  <si>
    <t>17NUL10cI_1_C1</t>
  </si>
  <si>
    <t>1_C1</t>
  </si>
  <si>
    <t>Iron</t>
  </si>
  <si>
    <t>gravel</t>
  </si>
  <si>
    <t>C2</t>
  </si>
  <si>
    <t>17NUL10cI_1_C2</t>
  </si>
  <si>
    <t>1_C2</t>
  </si>
  <si>
    <t>C3</t>
  </si>
  <si>
    <t>17NUL10cI_1_C3</t>
  </si>
  <si>
    <t>1_C3</t>
  </si>
  <si>
    <t>C4</t>
  </si>
  <si>
    <t>17NUL10cI_1_C4</t>
  </si>
  <si>
    <t>1_C4</t>
  </si>
  <si>
    <t>C5</t>
  </si>
  <si>
    <t>17NUL10cI_1_C5</t>
  </si>
  <si>
    <t>1_C5</t>
  </si>
  <si>
    <t>C6</t>
  </si>
  <si>
    <t>17NUL10cI_1_C6</t>
  </si>
  <si>
    <t>1_C6</t>
  </si>
  <si>
    <t>D1</t>
  </si>
  <si>
    <t>17NUL10cI_1_D1</t>
  </si>
  <si>
    <t>1_D1</t>
  </si>
  <si>
    <t>D2</t>
  </si>
  <si>
    <t>17NUL10cI_1_D2</t>
  </si>
  <si>
    <t>1_D2</t>
  </si>
  <si>
    <t>D3</t>
  </si>
  <si>
    <t>17NUL10cI_1_D3</t>
  </si>
  <si>
    <t>1_D3</t>
  </si>
  <si>
    <t>D4</t>
  </si>
  <si>
    <t>17NUL10cI_1_D4</t>
  </si>
  <si>
    <t>1_D4</t>
  </si>
  <si>
    <t>D5</t>
  </si>
  <si>
    <t>17NUL10cI_1_D5</t>
  </si>
  <si>
    <t>1_D5</t>
  </si>
  <si>
    <t>D6</t>
  </si>
  <si>
    <t>17NUL10cI_1_D6</t>
  </si>
  <si>
    <t>1_D6</t>
  </si>
  <si>
    <t>E1</t>
  </si>
  <si>
    <t>17NUL10cI_1_E1</t>
  </si>
  <si>
    <t>1_E1</t>
  </si>
  <si>
    <t>E2</t>
  </si>
  <si>
    <t>17NUL10cI_1_E2</t>
  </si>
  <si>
    <t>1_E2</t>
  </si>
  <si>
    <t>E3</t>
  </si>
  <si>
    <t>17NUL10cI_1_E3</t>
  </si>
  <si>
    <t>1_E3</t>
  </si>
  <si>
    <t>E4</t>
  </si>
  <si>
    <t>17NUL10cI_1_E4</t>
  </si>
  <si>
    <t>1_E4</t>
  </si>
  <si>
    <t>E5</t>
  </si>
  <si>
    <t>17NUL10cI_1_E5</t>
  </si>
  <si>
    <t>1_E5</t>
  </si>
  <si>
    <t>E6</t>
  </si>
  <si>
    <t>17NUL10cI_1_E6</t>
  </si>
  <si>
    <t>1_E6</t>
  </si>
  <si>
    <t>Iron/glassy</t>
  </si>
  <si>
    <t>F1</t>
  </si>
  <si>
    <t>17NUL10cI_1_F1</t>
  </si>
  <si>
    <t>1_F1</t>
  </si>
  <si>
    <t>F2</t>
  </si>
  <si>
    <t>17NUL10cI_1_F2</t>
  </si>
  <si>
    <t>1_F2</t>
  </si>
  <si>
    <t>F3</t>
  </si>
  <si>
    <t>17NUL10cI_1_F3</t>
  </si>
  <si>
    <t>1_F3</t>
  </si>
  <si>
    <t>F4</t>
  </si>
  <si>
    <t>17NUL10cI_1_F4</t>
  </si>
  <si>
    <t>1_F4</t>
  </si>
  <si>
    <t>F5</t>
  </si>
  <si>
    <t>17NUL10cI_1_F5</t>
  </si>
  <si>
    <t>1_F5</t>
  </si>
  <si>
    <t>F6</t>
  </si>
  <si>
    <t>17NUL10cI_1_F6a</t>
  </si>
  <si>
    <t>1_F6a</t>
  </si>
  <si>
    <t>17NUL10cI_1_F6b</t>
  </si>
  <si>
    <t>1_F6b</t>
  </si>
  <si>
    <t>G1</t>
  </si>
  <si>
    <t>17NUL10cI_1_G1</t>
  </si>
  <si>
    <t>1_G1</t>
  </si>
  <si>
    <t>G2</t>
  </si>
  <si>
    <t>17NUL10cI_1_G2</t>
  </si>
  <si>
    <t>1_G2</t>
  </si>
  <si>
    <t>G3</t>
  </si>
  <si>
    <t>17NUL10cI_1_G3</t>
  </si>
  <si>
    <t>1_G3</t>
  </si>
  <si>
    <t>G4</t>
  </si>
  <si>
    <t>17NUL10cI_1_G4</t>
  </si>
  <si>
    <t>1_G4</t>
  </si>
  <si>
    <t>G5</t>
  </si>
  <si>
    <t>17NUL10cI_1_G5</t>
  </si>
  <si>
    <t>1_G5</t>
  </si>
  <si>
    <t>G6</t>
  </si>
  <si>
    <t>17NUL10cI_1_G6</t>
  </si>
  <si>
    <t>1_G6</t>
  </si>
  <si>
    <t>Covered in clay</t>
  </si>
  <si>
    <t>H1</t>
  </si>
  <si>
    <t>17NUL10cI_1_H1</t>
  </si>
  <si>
    <t>1_H1</t>
  </si>
  <si>
    <t>H2</t>
  </si>
  <si>
    <t>17NUL10cI_1_H2</t>
  </si>
  <si>
    <t>1_H2</t>
  </si>
  <si>
    <t>H3</t>
  </si>
  <si>
    <t>17NUL10cI_1_H3</t>
  </si>
  <si>
    <t>1_H3</t>
  </si>
  <si>
    <t>H4</t>
  </si>
  <si>
    <t>17NUL10cI_1_H4</t>
  </si>
  <si>
    <t>1_H4</t>
  </si>
  <si>
    <t>H5</t>
  </si>
  <si>
    <t>17NUL10cI_1_H5</t>
  </si>
  <si>
    <t>1_H5</t>
  </si>
  <si>
    <t>H6</t>
  </si>
  <si>
    <t>17NUL10cI_1_H6</t>
  </si>
  <si>
    <t>1_H6</t>
  </si>
  <si>
    <t>=imaged section S-type</t>
  </si>
  <si>
    <t>Unknown</t>
  </si>
  <si>
    <t>SEMNull1</t>
  </si>
  <si>
    <t>=imaged section I-type</t>
  </si>
  <si>
    <t>SEM imaged</t>
  </si>
  <si>
    <t>SEMNull2</t>
  </si>
  <si>
    <t>Destroyed during mount polishing :'(</t>
  </si>
  <si>
    <t>SEMNull3</t>
  </si>
  <si>
    <t>Difficult to distinguish as grains are chewed up and damaged looking</t>
  </si>
  <si>
    <t>a</t>
  </si>
  <si>
    <t>e</t>
  </si>
  <si>
    <t>f</t>
  </si>
  <si>
    <t>h</t>
  </si>
  <si>
    <t>3.1_B1</t>
  </si>
  <si>
    <t>3.1_C1</t>
  </si>
  <si>
    <t>3.1_D6</t>
  </si>
  <si>
    <t>3.2_E2</t>
  </si>
  <si>
    <t>3.2_C3</t>
  </si>
  <si>
    <t>3.2_E4</t>
  </si>
  <si>
    <t>3.2_B5</t>
  </si>
  <si>
    <t>3.1_B2</t>
  </si>
  <si>
    <t>3.1_E2</t>
  </si>
  <si>
    <t>3.1_F2</t>
  </si>
  <si>
    <t>3.1_G2</t>
  </si>
  <si>
    <t>3.1_A5</t>
  </si>
  <si>
    <t>3.2_B1</t>
  </si>
  <si>
    <t>3.2_A4</t>
  </si>
  <si>
    <t>3.2_F5</t>
  </si>
  <si>
    <t>3.2_G5</t>
  </si>
  <si>
    <t>3.2_D8</t>
  </si>
  <si>
    <t>3.2_E8</t>
  </si>
  <si>
    <t>3.3_B4</t>
  </si>
  <si>
    <t>3.3_C4</t>
  </si>
  <si>
    <t>3.3_C5</t>
  </si>
  <si>
    <t>3.2_G4</t>
  </si>
  <si>
    <t>3.2_H5</t>
  </si>
  <si>
    <t>3.2_A6</t>
  </si>
  <si>
    <t>3.2_C6</t>
  </si>
  <si>
    <t>3.2_G8</t>
  </si>
  <si>
    <t>3.3_A1</t>
  </si>
  <si>
    <t>3.3_A6</t>
  </si>
  <si>
    <t>6.3_C1</t>
  </si>
  <si>
    <t>6.3_D1</t>
  </si>
  <si>
    <t>Stub name library</t>
  </si>
  <si>
    <t>6.3_F1</t>
  </si>
  <si>
    <t>6.3_G1</t>
  </si>
  <si>
    <t>6.3_A7</t>
  </si>
  <si>
    <t>(terrain)</t>
  </si>
  <si>
    <t>Weight Fraction</t>
  </si>
  <si>
    <t>3.3_E5</t>
  </si>
  <si>
    <t>CODE</t>
  </si>
  <si>
    <t>3.3_F5</t>
  </si>
  <si>
    <t>3.3_G5</t>
  </si>
  <si>
    <t>3.3_H5</t>
  </si>
  <si>
    <t>3.4_C4</t>
  </si>
  <si>
    <t>3.5_B3</t>
  </si>
  <si>
    <t>3.5_E3</t>
  </si>
  <si>
    <t>3.3_B6</t>
  </si>
  <si>
    <t>3.3_C6</t>
  </si>
  <si>
    <t>3.3_D6</t>
  </si>
  <si>
    <t>3.3_E6</t>
  </si>
  <si>
    <t>3.3_C7</t>
  </si>
  <si>
    <t>3.3_D7</t>
  </si>
  <si>
    <t>3.3_F7</t>
  </si>
  <si>
    <t>6.3_E2</t>
  </si>
  <si>
    <t>6.3_F2</t>
  </si>
  <si>
    <t>6.3_G2</t>
  </si>
  <si>
    <t>6.3_H2</t>
  </si>
  <si>
    <t>6.3_C3</t>
  </si>
  <si>
    <t>Nullarbor</t>
  </si>
  <si>
    <t>(eg. Nullarbor/Pilbara)</t>
  </si>
  <si>
    <t>(eg. control)</t>
  </si>
  <si>
    <t>(eg. A, H, M, L)</t>
  </si>
  <si>
    <t>(eg. A1)</t>
  </si>
  <si>
    <t>17Ne01*IH_1_A1</t>
  </si>
  <si>
    <t>Pilbara</t>
  </si>
  <si>
    <t>P</t>
  </si>
  <si>
    <t>3.5_F3</t>
  </si>
  <si>
    <t>3.5_H3</t>
  </si>
  <si>
    <t>3.5_B4</t>
  </si>
  <si>
    <t>3.5_D4</t>
  </si>
  <si>
    <t>3.6_D1</t>
  </si>
  <si>
    <t>3.6_C2</t>
  </si>
  <si>
    <t>3.4_A1</t>
  </si>
  <si>
    <t>3.4_G4</t>
  </si>
  <si>
    <t>3.4_H4</t>
  </si>
  <si>
    <t>3.4_D7</t>
  </si>
  <si>
    <t>e01</t>
  </si>
  <si>
    <t>3.4_E7</t>
  </si>
  <si>
    <t>3.4_A8</t>
  </si>
  <si>
    <t>6.3_G3</t>
  </si>
  <si>
    <t>6.3_H3</t>
  </si>
  <si>
    <t>6.3_A4</t>
  </si>
  <si>
    <t>6.3_C4</t>
  </si>
  <si>
    <t>3.6_D2</t>
  </si>
  <si>
    <t>3.6_E2</t>
  </si>
  <si>
    <t>3.6_G3</t>
  </si>
  <si>
    <t>3.6_H3</t>
  </si>
  <si>
    <t>3.6_F5</t>
  </si>
  <si>
    <t>3.6_C11</t>
  </si>
  <si>
    <t>3.7_A4</t>
  </si>
  <si>
    <t>3.4_C12</t>
  </si>
  <si>
    <t>3.5_H1</t>
  </si>
  <si>
    <t>3.5_C3</t>
  </si>
  <si>
    <t>3.5_D3</t>
  </si>
  <si>
    <t>3.5_G3</t>
  </si>
  <si>
    <t>3.5_C4</t>
  </si>
  <si>
    <t>3.6_A1</t>
  </si>
  <si>
    <t>6.3_F4</t>
  </si>
  <si>
    <t>6.3_G4</t>
  </si>
  <si>
    <t>6.3_H4</t>
  </si>
  <si>
    <t>6.3_C5</t>
  </si>
  <si>
    <t>6.3_D5</t>
  </si>
  <si>
    <t>3.7_D4</t>
  </si>
  <si>
    <t>3.7_E4</t>
  </si>
  <si>
    <t>3.7_F4</t>
  </si>
  <si>
    <t>3.7_B5</t>
  </si>
  <si>
    <t>3.7_C5</t>
  </si>
  <si>
    <t>3.7_E5</t>
  </si>
  <si>
    <t>12.2_D1</t>
  </si>
  <si>
    <t>3.6_B1</t>
  </si>
  <si>
    <t>3.6_C1</t>
  </si>
  <si>
    <t>3.6_G1</t>
  </si>
  <si>
    <t>3.6_B2</t>
  </si>
  <si>
    <t>3.6_G2</t>
  </si>
  <si>
    <t>3.6_A3</t>
  </si>
  <si>
    <t>3.6_C3</t>
  </si>
  <si>
    <t>6.3_E5</t>
  </si>
  <si>
    <t>6.3_H5</t>
  </si>
  <si>
    <t>6.3_B6</t>
  </si>
  <si>
    <t>6.3_F6</t>
  </si>
  <si>
    <t>6.3_F5</t>
  </si>
  <si>
    <t>12.2_F1</t>
  </si>
  <si>
    <t>12.2_B2</t>
  </si>
  <si>
    <t>12.2_C2</t>
  </si>
  <si>
    <t>12.2_G2</t>
  </si>
  <si>
    <t>12.2_H2</t>
  </si>
  <si>
    <t>12.2_A3</t>
  </si>
  <si>
    <t>12.2_C3</t>
  </si>
  <si>
    <t>3.6_D3</t>
  </si>
  <si>
    <t>3.6_E3</t>
  </si>
  <si>
    <t>3.6_F3</t>
  </si>
  <si>
    <t>3.6_A4</t>
  </si>
  <si>
    <t>3.6_B4</t>
  </si>
  <si>
    <t>3.6_E4</t>
  </si>
  <si>
    <t>3.6_F4</t>
  </si>
  <si>
    <t>?</t>
  </si>
  <si>
    <t>double boy</t>
  </si>
  <si>
    <t>&lt;-- one missing??</t>
  </si>
  <si>
    <t>Imaged</t>
  </si>
  <si>
    <t>Probe current 8 for sections</t>
  </si>
  <si>
    <t>resined</t>
  </si>
  <si>
    <t>Size fractions</t>
  </si>
  <si>
    <t>Not worth imaging</t>
  </si>
  <si>
    <t>267.708,241.667</t>
  </si>
  <si>
    <t>Missing</t>
  </si>
  <si>
    <t>41.8/42.6</t>
  </si>
  <si>
    <t>262.5,309.375</t>
  </si>
  <si>
    <t>Good MM sample</t>
  </si>
  <si>
    <t>Maybe - needs sectioning</t>
  </si>
  <si>
    <t>AL TAIT STUBS (EXP 10) size (um) and type</t>
  </si>
  <si>
    <t>wt%</t>
  </si>
  <si>
    <t>g/mol</t>
  </si>
  <si>
    <t>G = glassy</t>
  </si>
  <si>
    <t>G 172</t>
  </si>
  <si>
    <t>T 125</t>
  </si>
  <si>
    <t>I 168</t>
  </si>
  <si>
    <t>I 199</t>
  </si>
  <si>
    <t>I 146</t>
  </si>
  <si>
    <t>I 153</t>
  </si>
  <si>
    <t>G 136</t>
  </si>
  <si>
    <t>I 141</t>
  </si>
  <si>
    <t>ratio of Fe/O</t>
  </si>
  <si>
    <t>T= terra</t>
  </si>
  <si>
    <t>.</t>
  </si>
  <si>
    <t>I = iron</t>
  </si>
  <si>
    <t>I 300</t>
  </si>
  <si>
    <t>I 303</t>
  </si>
  <si>
    <t>I 209</t>
  </si>
  <si>
    <t>S = silicate</t>
  </si>
  <si>
    <t>G 169</t>
  </si>
  <si>
    <t>. = mm present, not analysed</t>
  </si>
  <si>
    <t>I 161</t>
  </si>
  <si>
    <t>I/G 154</t>
  </si>
  <si>
    <t>I 144 &amp; I 122</t>
  </si>
  <si>
    <t>I 187</t>
  </si>
  <si>
    <t>I 295</t>
  </si>
  <si>
    <t>G 382</t>
  </si>
  <si>
    <t>_</t>
  </si>
  <si>
    <t>Heavy</t>
  </si>
  <si>
    <t>Medium</t>
  </si>
  <si>
    <t>M</t>
  </si>
  <si>
    <t>Light</t>
  </si>
  <si>
    <t>L</t>
  </si>
  <si>
    <t>All</t>
  </si>
  <si>
    <t>Experiment Number</t>
  </si>
  <si>
    <t>EXP 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</si>
  <si>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</si>
  <si>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</si>
  <si>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</si>
  <si>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</si>
  <si>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</si>
  <si>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</si>
  <si>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</si>
  <si>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</si>
  <si>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</si>
  <si>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EXP 11</t>
  </si>
  <si>
    <t>e11</t>
  </si>
  <si>
    <t>e12</t>
  </si>
  <si>
    <t>EXP 13</t>
  </si>
  <si>
    <t>e13</t>
  </si>
  <si>
    <t>Types</t>
  </si>
  <si>
    <t>Silicate</t>
  </si>
  <si>
    <t>Carbonaceous</t>
  </si>
  <si>
    <t>Totals</t>
  </si>
  <si>
    <t>Minimum</t>
  </si>
  <si>
    <t>Maximum</t>
  </si>
  <si>
    <t>Experiment 1a</t>
  </si>
  <si>
    <t>Experiment 1b</t>
  </si>
  <si>
    <t>Experiment 1c</t>
  </si>
  <si>
    <t>Experiment 3</t>
  </si>
  <si>
    <t>Experiment 6</t>
  </si>
  <si>
    <t>Experiment 10</t>
  </si>
  <si>
    <t>Experiment 12</t>
  </si>
  <si>
    <t>0-20</t>
  </si>
  <si>
    <t>20-40</t>
  </si>
  <si>
    <t>40-60</t>
  </si>
  <si>
    <t>60-80</t>
  </si>
  <si>
    <t>80-100</t>
  </si>
  <si>
    <t>100-120</t>
  </si>
  <si>
    <t>120-140</t>
  </si>
  <si>
    <t>140-160</t>
  </si>
  <si>
    <t>160-180</t>
  </si>
  <si>
    <t>180-200</t>
  </si>
  <si>
    <t>200-220</t>
  </si>
  <si>
    <t>220-240</t>
  </si>
  <si>
    <t>240-260</t>
  </si>
  <si>
    <t>260-280</t>
  </si>
  <si>
    <t>280-300</t>
  </si>
  <si>
    <t>300-320</t>
  </si>
  <si>
    <t>320-340</t>
  </si>
  <si>
    <t>340-360</t>
  </si>
  <si>
    <t>360-380</t>
  </si>
  <si>
    <t>380-400</t>
  </si>
  <si>
    <t>400-420</t>
  </si>
  <si>
    <t>420-440</t>
  </si>
  <si>
    <t>440-460</t>
  </si>
  <si>
    <t>460-480</t>
  </si>
  <si>
    <t>480-500</t>
  </si>
  <si>
    <t>500-520</t>
  </si>
  <si>
    <t>520-540</t>
  </si>
  <si>
    <t>540-560</t>
  </si>
  <si>
    <t>560-580</t>
  </si>
  <si>
    <t>580-600</t>
  </si>
  <si>
    <t>Total</t>
  </si>
  <si>
    <t>Unknowns</t>
  </si>
  <si>
    <t>Unknown %</t>
  </si>
  <si>
    <t>Total Total</t>
  </si>
  <si>
    <t>Total Unknown</t>
  </si>
  <si>
    <t>Total Unknown %</t>
  </si>
  <si>
    <t>Weight sorted</t>
  </si>
  <si>
    <t>#MMs 125-250</t>
  </si>
  <si>
    <t>#MMs 250-500</t>
  </si>
  <si>
    <t>Abundance</t>
  </si>
  <si>
    <t>a/b</t>
  </si>
  <si>
    <t>Gravel on pavement</t>
  </si>
  <si>
    <t xml:space="preserve">averages </t>
  </si>
  <si>
    <t>Cracks</t>
  </si>
  <si>
    <t>Wind ridge</t>
  </si>
  <si>
    <t>soil</t>
  </si>
  <si>
    <t>sand dune</t>
  </si>
  <si>
    <t>i=I-type, s=silicate type, g=glassy, numbers are spherule diameters in micrometers, X=nothing in sample well or not micrometeorite</t>
  </si>
  <si>
    <t>numbers are spherule diameters in micrometers, X=nothing in sample well or not micrometeorite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</si>
</sst>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2"/>
      <color rgb="FF000000"/>
      <name val="Calibri"/>
    </font>
    <font>
      <sz val="12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sz val="11"/>
      <color rgb="FFF7981D"/>
      <name val="Calibri"/>
      <family val="2"/>
    </font>
    <font>
      <sz val="11"/>
      <color rgb="FF7E3794"/>
      <name val="Calibri"/>
      <family val="2"/>
    </font>
    <font>
      <sz val="11"/>
      <color rgb="FF93C47D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674EA7"/>
      <name val="Calibri"/>
      <family val="2"/>
    </font>
    <font>
      <sz val="11"/>
      <color rgb="FFF7981D"/>
      <name val="Calibri"/>
      <family val="2"/>
    </font>
    <font>
      <sz val="11"/>
      <color rgb="FF351C75"/>
      <name val="Calibri"/>
      <family val="2"/>
    </font>
    <font>
      <sz val="11"/>
      <color rgb="FF6AA84F"/>
      <name val="Calibri"/>
      <family val="2"/>
    </font>
    <font>
      <sz val="12"/>
      <color rgb="FF6AA84F"/>
      <name val="Calibri"/>
      <family val="2"/>
    </font>
    <font>
      <sz val="12"/>
      <color rgb="FF000000"/>
      <name val="Arial"/>
      <family val="2"/>
    </font>
    <font>
      <sz val="12"/>
      <color rgb="FF93C47D"/>
      <name val="Calibri"/>
      <family val="2"/>
    </font>
    <font>
      <sz val="11"/>
      <color rgb="FF93C47D"/>
      <name val="Calibri"/>
      <family val="2"/>
    </font>
    <font>
      <sz val="12"/>
      <name val="Calibri"/>
      <family val="2"/>
    </font>
    <font>
      <sz val="11"/>
      <color rgb="FF7E3794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FFFF"/>
      <name val="Calibri"/>
      <family val="2"/>
    </font>
    <font>
      <u/>
      <sz val="12"/>
      <color rgb="FF0000FF"/>
      <name val="Calibri"/>
      <family val="2"/>
    </font>
    <font>
      <i/>
      <sz val="10"/>
      <name val="Calibri"/>
      <family val="2"/>
    </font>
    <font>
      <sz val="12"/>
      <color rgb="FFFF9900"/>
      <name val="Calibri"/>
      <family val="2"/>
    </font>
    <font>
      <sz val="12"/>
      <color rgb="FFFFFF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Inconsolata"/>
    </font>
  </fonts>
  <fills count="29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9DAF8"/>
        <bgColor rgb="FFC9DAF8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00FF"/>
        <bgColor rgb="FFFF00FF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D9D9D9"/>
        <bgColor rgb="FFD9D9D9"/>
      </patternFill>
    </fill>
    <fill>
      <patternFill patternType="solid">
        <fgColor rgb="FFB7E1CD"/>
        <bgColor rgb="FFB7E1CD"/>
      </patternFill>
    </fill>
    <fill>
      <patternFill patternType="solid">
        <fgColor rgb="FFF4C7C3"/>
        <bgColor rgb="FFF4C7C3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CE8B2"/>
        <bgColor rgb="FFFCE8B2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76A5AF"/>
        <bgColor rgb="FF76A5AF"/>
      </patternFill>
    </fill>
    <fill>
      <patternFill patternType="solid">
        <fgColor rgb="FFD9EAD3"/>
        <bgColor rgb="FFD9EAD3"/>
      </patternFill>
    </fill>
    <fill>
      <patternFill patternType="solid">
        <fgColor rgb="FF3C78D8"/>
        <bgColor rgb="FF3C78D8"/>
      </patternFill>
    </fill>
    <fill>
      <patternFill patternType="solid">
        <fgColor rgb="FF6D9EEB"/>
        <bgColor rgb="FF6D9EEB"/>
      </patternFill>
    </fill>
    <fill>
      <patternFill patternType="solid">
        <fgColor rgb="FFF1C232"/>
        <bgColor rgb="FFF1C232"/>
      </patternFill>
    </fill>
    <fill>
      <patternFill patternType="solid">
        <fgColor rgb="FFF7981D"/>
        <bgColor rgb="FFF7981D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CCCC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0" xfId="0" applyFont="1" applyFill="1" applyAlignment="1"/>
    <xf numFmtId="0" fontId="3" fillId="0" borderId="0" xfId="0" applyFont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7" borderId="0" xfId="0" applyFont="1" applyFill="1" applyAlignment="1"/>
    <xf numFmtId="0" fontId="2" fillId="2" borderId="9" xfId="0" applyFont="1" applyFill="1" applyBorder="1" applyAlignment="1">
      <alignment horizontal="center"/>
    </xf>
    <xf numFmtId="0" fontId="1" fillId="8" borderId="0" xfId="0" applyFont="1" applyFill="1" applyAlignment="1"/>
    <xf numFmtId="0" fontId="2" fillId="9" borderId="10" xfId="0" applyFont="1" applyFill="1" applyBorder="1" applyAlignment="1">
      <alignment horizontal="center"/>
    </xf>
    <xf numFmtId="0" fontId="1" fillId="10" borderId="0" xfId="0" applyFont="1" applyFill="1" applyAlignment="1"/>
    <xf numFmtId="0" fontId="2" fillId="9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12" borderId="10" xfId="0" applyFont="1" applyFill="1" applyBorder="1" applyAlignment="1">
      <alignment horizontal="center"/>
    </xf>
    <xf numFmtId="0" fontId="10" fillId="12" borderId="10" xfId="0" applyFont="1" applyFill="1" applyBorder="1" applyAlignment="1">
      <alignment horizontal="center"/>
    </xf>
    <xf numFmtId="0" fontId="11" fillId="0" borderId="0" xfId="0" applyFont="1"/>
    <xf numFmtId="0" fontId="3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" fillId="13" borderId="10" xfId="0" applyFont="1" applyFill="1" applyBorder="1" applyAlignment="1">
      <alignment horizontal="center"/>
    </xf>
    <xf numFmtId="0" fontId="15" fillId="0" borderId="0" xfId="0" applyFont="1"/>
    <xf numFmtId="0" fontId="16" fillId="4" borderId="0" xfId="0" applyFont="1" applyFill="1" applyAlignment="1"/>
    <xf numFmtId="0" fontId="10" fillId="9" borderId="1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10" fillId="9" borderId="1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/>
    <xf numFmtId="0" fontId="19" fillId="0" borderId="0" xfId="0" applyFont="1" applyAlignment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9" fillId="0" borderId="4" xfId="0" applyFont="1" applyBorder="1" applyAlignment="1"/>
    <xf numFmtId="0" fontId="2" fillId="2" borderId="16" xfId="0" applyFont="1" applyFill="1" applyBorder="1" applyAlignment="1">
      <alignment horizontal="center"/>
    </xf>
    <xf numFmtId="0" fontId="19" fillId="6" borderId="0" xfId="0" applyFont="1" applyFill="1" applyAlignment="1"/>
    <xf numFmtId="0" fontId="2" fillId="2" borderId="17" xfId="0" applyFont="1" applyFill="1" applyBorder="1" applyAlignment="1">
      <alignment horizontal="center"/>
    </xf>
    <xf numFmtId="0" fontId="2" fillId="14" borderId="18" xfId="0" applyFont="1" applyFill="1" applyBorder="1" applyAlignment="1">
      <alignment horizontal="center"/>
    </xf>
    <xf numFmtId="0" fontId="3" fillId="14" borderId="18" xfId="0" applyFont="1" applyFill="1" applyBorder="1" applyAlignment="1">
      <alignment horizontal="center"/>
    </xf>
    <xf numFmtId="0" fontId="19" fillId="15" borderId="18" xfId="0" applyFont="1" applyFill="1" applyBorder="1" applyAlignment="1">
      <alignment horizontal="center"/>
    </xf>
    <xf numFmtId="0" fontId="19" fillId="9" borderId="18" xfId="0" applyFont="1" applyFill="1" applyBorder="1" applyAlignment="1">
      <alignment horizontal="center"/>
    </xf>
    <xf numFmtId="0" fontId="19" fillId="0" borderId="19" xfId="0" applyFont="1" applyBorder="1" applyAlignment="1"/>
    <xf numFmtId="0" fontId="3" fillId="11" borderId="7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19" fillId="0" borderId="13" xfId="0" applyFont="1" applyBorder="1" applyAlignment="1"/>
    <xf numFmtId="0" fontId="19" fillId="9" borderId="18" xfId="0" applyFont="1" applyFill="1" applyBorder="1" applyAlignment="1"/>
    <xf numFmtId="0" fontId="19" fillId="0" borderId="16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/>
    <xf numFmtId="0" fontId="1" fillId="0" borderId="1" xfId="0" applyFont="1" applyBorder="1" applyAlignment="1"/>
    <xf numFmtId="0" fontId="1" fillId="3" borderId="0" xfId="0" applyFont="1" applyFill="1"/>
    <xf numFmtId="0" fontId="21" fillId="0" borderId="0" xfId="0" applyFont="1"/>
    <xf numFmtId="164" fontId="1" fillId="0" borderId="0" xfId="0" applyNumberFormat="1" applyFont="1" applyAlignment="1"/>
    <xf numFmtId="0" fontId="1" fillId="4" borderId="0" xfId="0" applyFont="1" applyFill="1" applyAlignment="1"/>
    <xf numFmtId="0" fontId="1" fillId="9" borderId="0" xfId="0" applyFont="1" applyFill="1"/>
    <xf numFmtId="0" fontId="21" fillId="0" borderId="0" xfId="0" applyFont="1" applyAlignment="1"/>
    <xf numFmtId="0" fontId="1" fillId="0" borderId="0" xfId="0" applyFont="1" applyAlignment="1">
      <alignment horizontal="right"/>
    </xf>
    <xf numFmtId="0" fontId="22" fillId="0" borderId="0" xfId="0" applyFont="1" applyAlignment="1"/>
    <xf numFmtId="0" fontId="1" fillId="13" borderId="0" xfId="0" applyFont="1" applyFill="1"/>
    <xf numFmtId="0" fontId="1" fillId="4" borderId="0" xfId="0" applyFont="1" applyFill="1"/>
    <xf numFmtId="0" fontId="1" fillId="0" borderId="8" xfId="0" applyFont="1" applyBorder="1"/>
    <xf numFmtId="0" fontId="21" fillId="0" borderId="8" xfId="0" applyFont="1" applyBorder="1" applyAlignment="1"/>
    <xf numFmtId="0" fontId="21" fillId="8" borderId="8" xfId="0" applyFont="1" applyFill="1" applyBorder="1" applyAlignment="1"/>
    <xf numFmtId="0" fontId="0" fillId="0" borderId="0" xfId="0" applyFont="1"/>
    <xf numFmtId="2" fontId="23" fillId="16" borderId="0" xfId="0" applyNumberFormat="1" applyFont="1" applyFill="1" applyAlignment="1"/>
    <xf numFmtId="1" fontId="1" fillId="8" borderId="0" xfId="0" applyNumberFormat="1" applyFont="1" applyFill="1"/>
    <xf numFmtId="0" fontId="5" fillId="0" borderId="0" xfId="0" applyFont="1" applyAlignment="1"/>
    <xf numFmtId="1" fontId="1" fillId="3" borderId="0" xfId="0" applyNumberFormat="1" applyFont="1" applyFill="1" applyAlignment="1"/>
    <xf numFmtId="0" fontId="5" fillId="4" borderId="0" xfId="0" applyFont="1" applyFill="1" applyAlignment="1"/>
    <xf numFmtId="0" fontId="5" fillId="0" borderId="0" xfId="0" applyFont="1" applyAlignment="1"/>
    <xf numFmtId="0" fontId="5" fillId="4" borderId="0" xfId="0" applyFont="1" applyFill="1" applyAlignment="1"/>
    <xf numFmtId="0" fontId="5" fillId="0" borderId="0" xfId="0" applyFont="1"/>
    <xf numFmtId="0" fontId="1" fillId="17" borderId="0" xfId="0" applyFont="1" applyFill="1" applyAlignment="1"/>
    <xf numFmtId="0" fontId="1" fillId="17" borderId="0" xfId="0" applyFont="1" applyFill="1"/>
    <xf numFmtId="0" fontId="24" fillId="0" borderId="0" xfId="0" applyFont="1" applyAlignment="1"/>
    <xf numFmtId="1" fontId="1" fillId="17" borderId="0" xfId="0" applyNumberFormat="1" applyFont="1" applyFill="1" applyAlignment="1"/>
    <xf numFmtId="0" fontId="1" fillId="3" borderId="8" xfId="0" applyFont="1" applyFill="1" applyBorder="1" applyAlignment="1"/>
    <xf numFmtId="0" fontId="1" fillId="3" borderId="8" xfId="0" applyFont="1" applyFill="1" applyBorder="1"/>
    <xf numFmtId="1" fontId="1" fillId="8" borderId="8" xfId="0" applyNumberFormat="1" applyFont="1" applyFill="1" applyBorder="1"/>
    <xf numFmtId="1" fontId="1" fillId="3" borderId="8" xfId="0" applyNumberFormat="1" applyFont="1" applyFill="1" applyBorder="1" applyAlignment="1"/>
    <xf numFmtId="0" fontId="21" fillId="0" borderId="0" xfId="0" applyFont="1" applyAlignment="1">
      <alignment wrapText="1"/>
    </xf>
    <xf numFmtId="0" fontId="1" fillId="11" borderId="0" xfId="0" applyFont="1" applyFill="1"/>
    <xf numFmtId="0" fontId="1" fillId="11" borderId="19" xfId="0" applyFont="1" applyFill="1" applyBorder="1"/>
    <xf numFmtId="0" fontId="1" fillId="0" borderId="19" xfId="0" applyFont="1" applyBorder="1" applyAlignment="1"/>
    <xf numFmtId="164" fontId="1" fillId="8" borderId="0" xfId="0" applyNumberFormat="1" applyFont="1" applyFill="1"/>
    <xf numFmtId="164" fontId="1" fillId="8" borderId="0" xfId="0" applyNumberFormat="1" applyFont="1" applyFill="1" applyAlignment="1"/>
    <xf numFmtId="0" fontId="2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0" fontId="26" fillId="0" borderId="19" xfId="0" applyFont="1" applyBorder="1" applyAlignment="1"/>
    <xf numFmtId="0" fontId="1" fillId="0" borderId="0" xfId="0" applyFont="1" applyAlignment="1">
      <alignment horizontal="center" wrapText="1"/>
    </xf>
    <xf numFmtId="0" fontId="1" fillId="11" borderId="19" xfId="0" applyFont="1" applyFill="1" applyBorder="1" applyAlignment="1"/>
    <xf numFmtId="0" fontId="27" fillId="16" borderId="0" xfId="0" applyFont="1" applyFill="1" applyAlignment="1"/>
    <xf numFmtId="0" fontId="27" fillId="16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0" borderId="0" xfId="0" quotePrefix="1" applyFont="1" applyAlignment="1"/>
    <xf numFmtId="0" fontId="1" fillId="20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2" borderId="0" xfId="0" applyFont="1" applyFill="1" applyAlignment="1"/>
    <xf numFmtId="0" fontId="1" fillId="23" borderId="0" xfId="0" applyFont="1" applyFill="1"/>
    <xf numFmtId="0" fontId="1" fillId="12" borderId="0" xfId="0" applyFont="1" applyFill="1" applyAlignment="1"/>
    <xf numFmtId="0" fontId="1" fillId="12" borderId="0" xfId="0" applyFont="1" applyFill="1"/>
    <xf numFmtId="0" fontId="1" fillId="15" borderId="0" xfId="0" applyFont="1" applyFill="1"/>
    <xf numFmtId="0" fontId="21" fillId="12" borderId="0" xfId="0" applyFont="1" applyFill="1" applyAlignment="1"/>
    <xf numFmtId="0" fontId="28" fillId="21" borderId="0" xfId="0" applyFont="1" applyFill="1" applyAlignment="1"/>
    <xf numFmtId="0" fontId="28" fillId="19" borderId="0" xfId="0" applyFont="1" applyFill="1" applyAlignment="1"/>
    <xf numFmtId="0" fontId="29" fillId="19" borderId="0" xfId="0" applyFont="1" applyFill="1" applyAlignment="1"/>
    <xf numFmtId="0" fontId="28" fillId="0" borderId="0" xfId="0" applyFont="1" applyAlignment="1"/>
    <xf numFmtId="0" fontId="28" fillId="20" borderId="0" xfId="0" applyFont="1" applyFill="1" applyAlignment="1"/>
    <xf numFmtId="0" fontId="28" fillId="5" borderId="0" xfId="0" applyFont="1" applyFill="1" applyAlignment="1"/>
    <xf numFmtId="0" fontId="28" fillId="24" borderId="0" xfId="0" applyFont="1" applyFill="1" applyAlignment="1"/>
    <xf numFmtId="0" fontId="29" fillId="0" borderId="0" xfId="0" applyFont="1" applyAlignment="1"/>
    <xf numFmtId="0" fontId="30" fillId="4" borderId="0" xfId="0" applyFont="1" applyFill="1" applyAlignment="1">
      <alignment horizontal="left"/>
    </xf>
    <xf numFmtId="0" fontId="1" fillId="0" borderId="19" xfId="0" applyFont="1" applyBorder="1"/>
    <xf numFmtId="0" fontId="29" fillId="4" borderId="0" xfId="0" applyFont="1" applyFill="1" applyAlignment="1"/>
    <xf numFmtId="0" fontId="21" fillId="0" borderId="7" xfId="0" applyFont="1" applyBorder="1" applyAlignment="1"/>
    <xf numFmtId="0" fontId="29" fillId="7" borderId="0" xfId="0" applyFont="1" applyFill="1" applyAlignment="1"/>
    <xf numFmtId="0" fontId="28" fillId="25" borderId="0" xfId="0" applyFont="1" applyFill="1"/>
    <xf numFmtId="0" fontId="1" fillId="26" borderId="0" xfId="0" applyFont="1" applyFill="1"/>
    <xf numFmtId="0" fontId="28" fillId="10" borderId="0" xfId="0" applyFont="1" applyFill="1" applyAlignment="1"/>
    <xf numFmtId="0" fontId="28" fillId="4" borderId="0" xfId="0" applyFont="1" applyFill="1" applyAlignment="1"/>
    <xf numFmtId="0" fontId="28" fillId="27" borderId="0" xfId="0" applyFont="1" applyFill="1" applyAlignment="1"/>
    <xf numFmtId="0" fontId="1" fillId="15" borderId="0" xfId="0" applyFont="1" applyFill="1" applyAlignment="1"/>
    <xf numFmtId="0" fontId="1" fillId="18" borderId="0" xfId="0" applyFont="1" applyFill="1" applyAlignment="1"/>
    <xf numFmtId="0" fontId="21" fillId="0" borderId="1" xfId="0" applyFont="1" applyBorder="1" applyAlignment="1"/>
    <xf numFmtId="0" fontId="1" fillId="27" borderId="1" xfId="0" applyFont="1" applyFill="1" applyBorder="1"/>
    <xf numFmtId="0" fontId="21" fillId="10" borderId="1" xfId="0" applyFont="1" applyFill="1" applyBorder="1" applyAlignment="1"/>
    <xf numFmtId="0" fontId="1" fillId="27" borderId="1" xfId="0" applyFont="1" applyFill="1" applyBorder="1" applyAlignment="1"/>
    <xf numFmtId="0" fontId="1" fillId="26" borderId="1" xfId="0" applyFont="1" applyFill="1" applyBorder="1" applyAlignment="1"/>
    <xf numFmtId="0" fontId="1" fillId="16" borderId="0" xfId="0" applyFont="1" applyFill="1"/>
    <xf numFmtId="0" fontId="1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1" fillId="4" borderId="0" xfId="0" applyFont="1" applyFill="1" applyAlignment="1">
      <alignment horizontal="left"/>
    </xf>
    <xf numFmtId="0" fontId="31" fillId="4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32" fillId="4" borderId="0" xfId="0" applyFont="1" applyFill="1" applyAlignment="1">
      <alignment horizontal="right"/>
    </xf>
    <xf numFmtId="0" fontId="32" fillId="4" borderId="0" xfId="0" applyFont="1" applyFill="1" applyAlignment="1">
      <alignment horizontal="right"/>
    </xf>
    <xf numFmtId="2" fontId="5" fillId="4" borderId="0" xfId="0" applyNumberFormat="1" applyFont="1" applyFill="1" applyAlignment="1">
      <alignment horizontal="right"/>
    </xf>
    <xf numFmtId="2" fontId="5" fillId="4" borderId="0" xfId="0" applyNumberFormat="1" applyFont="1" applyFill="1" applyAlignment="1">
      <alignment horizontal="left"/>
    </xf>
    <xf numFmtId="0" fontId="0" fillId="0" borderId="0" xfId="0" applyFont="1" applyAlignment="1"/>
    <xf numFmtId="0" fontId="2" fillId="28" borderId="10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1" fontId="0" fillId="0" borderId="0" xfId="0" applyNumberFormat="1" applyFont="1" applyAlignment="1"/>
    <xf numFmtId="0" fontId="0" fillId="0" borderId="16" xfId="0" applyFont="1" applyFill="1" applyBorder="1" applyAlignment="1"/>
    <xf numFmtId="0" fontId="1" fillId="0" borderId="16" xfId="0" applyFont="1" applyFill="1" applyBorder="1" applyAlignment="1"/>
    <xf numFmtId="0" fontId="1" fillId="0" borderId="16" xfId="0" applyFont="1" applyFill="1" applyBorder="1"/>
    <xf numFmtId="164" fontId="0" fillId="0" borderId="0" xfId="0" applyNumberFormat="1" applyFont="1" applyAlignment="1"/>
    <xf numFmtId="0" fontId="3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6" xfId="0" applyFont="1" applyFill="1" applyBorder="1" applyAlignment="1">
      <alignment horizontal="left"/>
    </xf>
    <xf numFmtId="0" fontId="5" fillId="0" borderId="0" xfId="0" applyFont="1" applyFill="1" applyAlignment="1"/>
    <xf numFmtId="0" fontId="0" fillId="0" borderId="0" xfId="0" applyFont="1" applyFill="1" applyAlignment="1"/>
    <xf numFmtId="0" fontId="1" fillId="9" borderId="18" xfId="0" applyFont="1" applyFill="1" applyBorder="1" applyAlignment="1"/>
  </cellXfs>
  <cellStyles count="1">
    <cellStyle name="Normal" xfId="0" builtinId="0"/>
  </cellStyles>
  <dxfs count="16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A7D6"/>
          <bgColor rgb="FFB4A7D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FFD966"/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TOTALS'!$AE$3:$AE$32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9F9-E742-A498-D4C17EE7D007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TOTALS'!$AF$3:$AF$32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9F9-E742-A498-D4C17EE7D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2470"/>
        <c:axId val="1036035866"/>
      </c:barChart>
      <c:catAx>
        <c:axId val="3560247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36035866"/>
        <c:crosses val="autoZero"/>
        <c:auto val="1"/>
        <c:lblAlgn val="ctr"/>
        <c:lblOffset val="100"/>
        <c:noMultiLvlLbl val="1"/>
      </c:catAx>
      <c:valAx>
        <c:axId val="10360358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560247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All Experiments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TOTALS'!$C$2:$C$32</c:f>
              <c:numCache>
                <c:formatCode>General</c:formatCode>
                <c:ptCount val="31"/>
                <c:pt idx="0">
                  <c:v>0</c:v>
                </c:pt>
                <c:pt idx="1">
                  <c:v>3</c:v>
                </c:pt>
                <c:pt idx="2">
                  <c:v>26</c:v>
                </c:pt>
                <c:pt idx="3">
                  <c:v>19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847-D749-9B41-169CC80DA561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TOTALS'!$G$2:$G$32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847-D749-9B41-169CC80DA561}"/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TOTALS'!$K$2:$K$32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35</c:v>
                </c:pt>
                <c:pt idx="3">
                  <c:v>43</c:v>
                </c:pt>
                <c:pt idx="4">
                  <c:v>8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847-D749-9B41-169CC80DA561}"/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TOTALS'!$O$2:$O$32</c:f>
              <c:numCache>
                <c:formatCode>General</c:formatCode>
                <c:ptCount val="31"/>
                <c:pt idx="0">
                  <c:v>0</c:v>
                </c:pt>
                <c:pt idx="1">
                  <c:v>9</c:v>
                </c:pt>
                <c:pt idx="2">
                  <c:v>64</c:v>
                </c:pt>
                <c:pt idx="3">
                  <c:v>154</c:v>
                </c:pt>
                <c:pt idx="4">
                  <c:v>35</c:v>
                </c:pt>
                <c:pt idx="5">
                  <c:v>25</c:v>
                </c:pt>
                <c:pt idx="6">
                  <c:v>25</c:v>
                </c:pt>
                <c:pt idx="7">
                  <c:v>33</c:v>
                </c:pt>
                <c:pt idx="8">
                  <c:v>31</c:v>
                </c:pt>
                <c:pt idx="9">
                  <c:v>24</c:v>
                </c:pt>
                <c:pt idx="10">
                  <c:v>25</c:v>
                </c:pt>
                <c:pt idx="11">
                  <c:v>17</c:v>
                </c:pt>
                <c:pt idx="12">
                  <c:v>8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847-D749-9B41-169CC80DA561}"/>
            </c:ext>
          </c:extLst>
        </c:ser>
        <c:ser>
          <c:idx val="4"/>
          <c:order val="4"/>
          <c:spPr>
            <a:solidFill>
              <a:srgbClr val="990099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TOTALS'!$S$2:$S$32</c:f>
              <c:numCache>
                <c:formatCode>General</c:formatCode>
                <c:ptCount val="31"/>
                <c:pt idx="0">
                  <c:v>0</c:v>
                </c:pt>
                <c:pt idx="1">
                  <c:v>7</c:v>
                </c:pt>
                <c:pt idx="2">
                  <c:v>95</c:v>
                </c:pt>
                <c:pt idx="3">
                  <c:v>138</c:v>
                </c:pt>
                <c:pt idx="4">
                  <c:v>26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847-D749-9B41-169CC80DA561}"/>
            </c:ext>
          </c:extLst>
        </c:ser>
        <c:ser>
          <c:idx val="5"/>
          <c:order val="5"/>
          <c:spPr>
            <a:solidFill>
              <a:srgbClr val="0099C6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TOTALS'!$W$2:$W$32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14</c:v>
                </c:pt>
                <c:pt idx="6">
                  <c:v>19</c:v>
                </c:pt>
                <c:pt idx="7">
                  <c:v>28</c:v>
                </c:pt>
                <c:pt idx="8">
                  <c:v>36</c:v>
                </c:pt>
                <c:pt idx="9">
                  <c:v>43</c:v>
                </c:pt>
                <c:pt idx="10">
                  <c:v>43</c:v>
                </c:pt>
                <c:pt idx="11">
                  <c:v>33</c:v>
                </c:pt>
                <c:pt idx="12">
                  <c:v>27</c:v>
                </c:pt>
                <c:pt idx="13">
                  <c:v>15</c:v>
                </c:pt>
                <c:pt idx="14">
                  <c:v>9</c:v>
                </c:pt>
                <c:pt idx="15">
                  <c:v>5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5-9847-D749-9B41-169CC80DA561}"/>
            </c:ext>
          </c:extLst>
        </c:ser>
        <c:ser>
          <c:idx val="6"/>
          <c:order val="6"/>
          <c:spPr>
            <a:solidFill>
              <a:srgbClr val="DD4477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TOTALS'!$AA$2:$AA$32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41</c:v>
                </c:pt>
                <c:pt idx="4">
                  <c:v>29</c:v>
                </c:pt>
                <c:pt idx="5">
                  <c:v>31</c:v>
                </c:pt>
                <c:pt idx="6">
                  <c:v>46</c:v>
                </c:pt>
                <c:pt idx="7">
                  <c:v>34</c:v>
                </c:pt>
                <c:pt idx="8">
                  <c:v>30</c:v>
                </c:pt>
                <c:pt idx="9">
                  <c:v>15</c:v>
                </c:pt>
                <c:pt idx="10">
                  <c:v>10</c:v>
                </c:pt>
                <c:pt idx="11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6-9847-D749-9B41-169CC80DA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525228"/>
        <c:axId val="1098886673"/>
      </c:barChart>
      <c:catAx>
        <c:axId val="7585252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098886673"/>
        <c:crosses val="autoZero"/>
        <c:auto val="1"/>
        <c:lblAlgn val="ctr"/>
        <c:lblOffset val="100"/>
        <c:noMultiLvlLbl val="1"/>
      </c:catAx>
      <c:valAx>
        <c:axId val="1098886673"/>
        <c:scaling>
          <c:orientation val="minMax"/>
          <c:max val="16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7585252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EXP 1a Crack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TOTALS'!$C$3:$C$32</c:f>
              <c:numCache>
                <c:formatCode>General</c:formatCode>
                <c:ptCount val="30"/>
                <c:pt idx="0">
                  <c:v>3</c:v>
                </c:pt>
                <c:pt idx="1">
                  <c:v>26</c:v>
                </c:pt>
                <c:pt idx="2">
                  <c:v>19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102-D24A-80B9-7E9037266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289559"/>
        <c:axId val="27685456"/>
      </c:barChart>
      <c:catAx>
        <c:axId val="162928955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7685456"/>
        <c:crosses val="autoZero"/>
        <c:auto val="1"/>
        <c:lblAlgn val="ctr"/>
        <c:lblOffset val="100"/>
        <c:noMultiLvlLbl val="1"/>
      </c:catAx>
      <c:valAx>
        <c:axId val="27685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6292895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EXP 1b Bowl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0000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TOTALS'!$G$3:$G$32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A04-EA4C-A616-70DD2551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603600"/>
        <c:axId val="178594723"/>
      </c:barChart>
      <c:catAx>
        <c:axId val="12606036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78594723"/>
        <c:crosses val="autoZero"/>
        <c:auto val="1"/>
        <c:lblAlgn val="ctr"/>
        <c:lblOffset val="100"/>
        <c:noMultiLvlLbl val="1"/>
      </c:catAx>
      <c:valAx>
        <c:axId val="1785947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606036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EXP 1c Control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1C232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TOTALS'!$K$3:$K$32</c:f>
              <c:numCache>
                <c:formatCode>General</c:formatCode>
                <c:ptCount val="30"/>
                <c:pt idx="0">
                  <c:v>2</c:v>
                </c:pt>
                <c:pt idx="1">
                  <c:v>35</c:v>
                </c:pt>
                <c:pt idx="2">
                  <c:v>43</c:v>
                </c:pt>
                <c:pt idx="3">
                  <c:v>8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92B-3E4C-AA24-FEC99F250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333034"/>
        <c:axId val="1351027605"/>
      </c:barChart>
      <c:catAx>
        <c:axId val="188933303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51027605"/>
        <c:crosses val="autoZero"/>
        <c:auto val="1"/>
        <c:lblAlgn val="ctr"/>
        <c:lblOffset val="100"/>
        <c:noMultiLvlLbl val="1"/>
      </c:catAx>
      <c:valAx>
        <c:axId val="13510276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8933303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EXP 3 Residual wind ridge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AA84F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TOTALS'!$O$3:$O$32</c:f>
              <c:numCache>
                <c:formatCode>General</c:formatCode>
                <c:ptCount val="30"/>
                <c:pt idx="0">
                  <c:v>9</c:v>
                </c:pt>
                <c:pt idx="1">
                  <c:v>64</c:v>
                </c:pt>
                <c:pt idx="2">
                  <c:v>154</c:v>
                </c:pt>
                <c:pt idx="3">
                  <c:v>35</c:v>
                </c:pt>
                <c:pt idx="4">
                  <c:v>25</c:v>
                </c:pt>
                <c:pt idx="5">
                  <c:v>25</c:v>
                </c:pt>
                <c:pt idx="6">
                  <c:v>33</c:v>
                </c:pt>
                <c:pt idx="7">
                  <c:v>31</c:v>
                </c:pt>
                <c:pt idx="8">
                  <c:v>24</c:v>
                </c:pt>
                <c:pt idx="9">
                  <c:v>25</c:v>
                </c:pt>
                <c:pt idx="10">
                  <c:v>17</c:v>
                </c:pt>
                <c:pt idx="11">
                  <c:v>8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2DD-DC42-9847-9EBDFCD71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242852"/>
        <c:axId val="403608457"/>
      </c:barChart>
      <c:catAx>
        <c:axId val="92424285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03608457"/>
        <c:crosses val="autoZero"/>
        <c:auto val="1"/>
        <c:lblAlgn val="ctr"/>
        <c:lblOffset val="100"/>
        <c:noMultiLvlLbl val="1"/>
      </c:catAx>
      <c:valAx>
        <c:axId val="4036084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2424285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fr"/>
              <a:t>EXP 6 Gravel on Limestone Pavement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9900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TOTALS'!$S$3:$S$32</c:f>
              <c:numCache>
                <c:formatCode>General</c:formatCode>
                <c:ptCount val="30"/>
                <c:pt idx="0">
                  <c:v>7</c:v>
                </c:pt>
                <c:pt idx="1">
                  <c:v>95</c:v>
                </c:pt>
                <c:pt idx="2">
                  <c:v>138</c:v>
                </c:pt>
                <c:pt idx="3">
                  <c:v>26</c:v>
                </c:pt>
                <c:pt idx="4">
                  <c:v>10</c:v>
                </c:pt>
                <c:pt idx="5">
                  <c:v>4</c:v>
                </c:pt>
                <c:pt idx="6">
                  <c:v>5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5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E5A-9642-9E78-8654A1FB5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503121"/>
        <c:axId val="391769961"/>
      </c:barChart>
      <c:catAx>
        <c:axId val="125650312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91769961"/>
        <c:crosses val="autoZero"/>
        <c:auto val="1"/>
        <c:lblAlgn val="ctr"/>
        <c:lblOffset val="100"/>
        <c:noMultiLvlLbl val="1"/>
      </c:catAx>
      <c:valAx>
        <c:axId val="3917699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5650312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EXP 10 Sand Dune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BDC6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TOTALS'!$W$3:$W$32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14</c:v>
                </c:pt>
                <c:pt idx="5">
                  <c:v>19</c:v>
                </c:pt>
                <c:pt idx="6">
                  <c:v>28</c:v>
                </c:pt>
                <c:pt idx="7">
                  <c:v>36</c:v>
                </c:pt>
                <c:pt idx="8">
                  <c:v>43</c:v>
                </c:pt>
                <c:pt idx="9">
                  <c:v>43</c:v>
                </c:pt>
                <c:pt idx="10">
                  <c:v>33</c:v>
                </c:pt>
                <c:pt idx="11">
                  <c:v>27</c:v>
                </c:pt>
                <c:pt idx="12">
                  <c:v>15</c:v>
                </c:pt>
                <c:pt idx="13">
                  <c:v>9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22C-7A4D-9674-413157A54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78418"/>
        <c:axId val="959188678"/>
      </c:barChart>
      <c:catAx>
        <c:axId val="33607841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959188678"/>
        <c:crosses val="autoZero"/>
        <c:auto val="1"/>
        <c:lblAlgn val="ctr"/>
        <c:lblOffset val="100"/>
        <c:noMultiLvlLbl val="1"/>
      </c:catAx>
      <c:valAx>
        <c:axId val="9591886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3607841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en-AU"/>
              <a:t>EXP 12 Cracks on Limestone Pavement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00FF"/>
            </a:solidFill>
          </c:spPr>
          <c:invertIfNegative val="1"/>
          <c:cat>
            <c:strRef>
              <c:f>'NUL EXP Count TOTALS'!$AF$3:$AF$32</c:f>
              <c:strCache>
                <c:ptCount val="30"/>
                <c:pt idx="0">
                  <c:v>0-20</c:v>
                </c:pt>
                <c:pt idx="1">
                  <c:v>20-40</c:v>
                </c:pt>
                <c:pt idx="2">
                  <c:v>40-60</c:v>
                </c:pt>
                <c:pt idx="3">
                  <c:v>60-80</c:v>
                </c:pt>
                <c:pt idx="4">
                  <c:v>80-100</c:v>
                </c:pt>
                <c:pt idx="5">
                  <c:v>100-120</c:v>
                </c:pt>
                <c:pt idx="6">
                  <c:v>120-140</c:v>
                </c:pt>
                <c:pt idx="7">
                  <c:v>140-160</c:v>
                </c:pt>
                <c:pt idx="8">
                  <c:v>160-180</c:v>
                </c:pt>
                <c:pt idx="9">
                  <c:v>180-200</c:v>
                </c:pt>
                <c:pt idx="10">
                  <c:v>200-220</c:v>
                </c:pt>
                <c:pt idx="11">
                  <c:v>220-240</c:v>
                </c:pt>
                <c:pt idx="12">
                  <c:v>240-260</c:v>
                </c:pt>
                <c:pt idx="13">
                  <c:v>260-280</c:v>
                </c:pt>
                <c:pt idx="14">
                  <c:v>280-300</c:v>
                </c:pt>
                <c:pt idx="15">
                  <c:v>300-320</c:v>
                </c:pt>
                <c:pt idx="16">
                  <c:v>320-340</c:v>
                </c:pt>
                <c:pt idx="17">
                  <c:v>340-360</c:v>
                </c:pt>
                <c:pt idx="18">
                  <c:v>360-380</c:v>
                </c:pt>
                <c:pt idx="19">
                  <c:v>380-400</c:v>
                </c:pt>
                <c:pt idx="20">
                  <c:v>400-420</c:v>
                </c:pt>
                <c:pt idx="21">
                  <c:v>420-440</c:v>
                </c:pt>
                <c:pt idx="22">
                  <c:v>440-460</c:v>
                </c:pt>
                <c:pt idx="23">
                  <c:v>460-480</c:v>
                </c:pt>
                <c:pt idx="24">
                  <c:v>480-500</c:v>
                </c:pt>
                <c:pt idx="25">
                  <c:v>500-520</c:v>
                </c:pt>
                <c:pt idx="26">
                  <c:v>520-540</c:v>
                </c:pt>
                <c:pt idx="27">
                  <c:v>540-560</c:v>
                </c:pt>
                <c:pt idx="28">
                  <c:v>560-580</c:v>
                </c:pt>
                <c:pt idx="29">
                  <c:v>580-600</c:v>
                </c:pt>
              </c:strCache>
            </c:strRef>
          </c:cat>
          <c:val>
            <c:numRef>
              <c:f>'NUL EXP Count TOTALS'!$AA$3:$AA$32</c:f>
              <c:numCache>
                <c:formatCode>General</c:formatCode>
                <c:ptCount val="30"/>
                <c:pt idx="0">
                  <c:v>0</c:v>
                </c:pt>
                <c:pt idx="1">
                  <c:v>20</c:v>
                </c:pt>
                <c:pt idx="2">
                  <c:v>41</c:v>
                </c:pt>
                <c:pt idx="3">
                  <c:v>29</c:v>
                </c:pt>
                <c:pt idx="4">
                  <c:v>31</c:v>
                </c:pt>
                <c:pt idx="5">
                  <c:v>46</c:v>
                </c:pt>
                <c:pt idx="6">
                  <c:v>34</c:v>
                </c:pt>
                <c:pt idx="7">
                  <c:v>30</c:v>
                </c:pt>
                <c:pt idx="8">
                  <c:v>15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3C3-A048-9F2C-A6E44EEE5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3575812"/>
        <c:axId val="229550206"/>
      </c:barChart>
      <c:catAx>
        <c:axId val="20435758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229550206"/>
        <c:crosses val="autoZero"/>
        <c:auto val="1"/>
        <c:lblAlgn val="ctr"/>
        <c:lblOffset val="100"/>
        <c:noMultiLvlLbl val="1"/>
      </c:catAx>
      <c:valAx>
        <c:axId val="2295502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20435758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333375</xdr:colOff>
      <xdr:row>40</xdr:row>
      <xdr:rowOff>142875</xdr:rowOff>
    </xdr:from>
    <xdr:ext cx="9258300" cy="57245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266700</xdr:colOff>
      <xdr:row>41</xdr:row>
      <xdr:rowOff>47625</xdr:rowOff>
    </xdr:from>
    <xdr:ext cx="12487275" cy="77247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247650</xdr:colOff>
      <xdr:row>83</xdr:row>
      <xdr:rowOff>66675</xdr:rowOff>
    </xdr:from>
    <xdr:ext cx="5715000" cy="35337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276225</xdr:colOff>
      <xdr:row>83</xdr:row>
      <xdr:rowOff>57150</xdr:rowOff>
    </xdr:from>
    <xdr:ext cx="5715000" cy="35337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247650</xdr:colOff>
      <xdr:row>102</xdr:row>
      <xdr:rowOff>38100</xdr:rowOff>
    </xdr:from>
    <xdr:ext cx="5715000" cy="35337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6</xdr:col>
      <xdr:colOff>276225</xdr:colOff>
      <xdr:row>102</xdr:row>
      <xdr:rowOff>47625</xdr:rowOff>
    </xdr:from>
    <xdr:ext cx="5715000" cy="35337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247650</xdr:colOff>
      <xdr:row>121</xdr:row>
      <xdr:rowOff>9525</xdr:rowOff>
    </xdr:from>
    <xdr:ext cx="5715000" cy="35337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285750</xdr:colOff>
      <xdr:row>121</xdr:row>
      <xdr:rowOff>9525</xdr:rowOff>
    </xdr:from>
    <xdr:ext cx="5715000" cy="35337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257175</xdr:colOff>
      <xdr:row>139</xdr:row>
      <xdr:rowOff>161925</xdr:rowOff>
    </xdr:from>
    <xdr:ext cx="5715000" cy="35337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atlong.net/degrees-minutes-seconds-to-decimal-degrees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13"/>
  <sheetViews>
    <sheetView tabSelected="1" workbookViewId="0">
      <selection activeCell="E44" sqref="E44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/>
      <c r="C3" s="20"/>
      <c r="D3" s="21" t="s">
        <v>17</v>
      </c>
      <c r="E3" s="18" t="s">
        <v>17</v>
      </c>
      <c r="F3" s="18" t="s">
        <v>17</v>
      </c>
      <c r="G3" s="18"/>
      <c r="H3" s="18"/>
      <c r="I3" s="21"/>
      <c r="J3" s="22"/>
      <c r="K3" s="22"/>
      <c r="L3" s="22"/>
      <c r="M3" s="22"/>
      <c r="N3" s="6"/>
      <c r="O3" s="23" t="s">
        <v>14</v>
      </c>
      <c r="P3" s="18"/>
      <c r="Q3" s="24"/>
      <c r="R3" s="18">
        <v>48</v>
      </c>
      <c r="S3" s="18">
        <v>44</v>
      </c>
      <c r="T3" s="18">
        <v>102</v>
      </c>
      <c r="U3" s="24"/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11</v>
      </c>
      <c r="AE3" s="27">
        <f>COUNTIFS(P3:AA10,"&gt;0",P3:AA10,"&lt;51",B3:M10,"=i")</f>
        <v>3</v>
      </c>
      <c r="AF3" s="28">
        <f>COUNTIFS(P3:AA10,"&gt;0",P3:AA10,"&lt;51",B3:M10,"=s")</f>
        <v>5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/>
      <c r="C4" s="18"/>
      <c r="D4" s="18" t="s">
        <v>18</v>
      </c>
      <c r="E4" s="18" t="s">
        <v>18</v>
      </c>
      <c r="F4" s="18" t="s">
        <v>17</v>
      </c>
      <c r="G4" s="18"/>
      <c r="H4" s="18"/>
      <c r="I4" s="21"/>
      <c r="J4" s="21"/>
      <c r="K4" s="22"/>
      <c r="L4" s="22"/>
      <c r="M4" s="22"/>
      <c r="N4" s="6"/>
      <c r="O4" s="23" t="s">
        <v>32</v>
      </c>
      <c r="P4" s="18"/>
      <c r="Q4" s="24"/>
      <c r="R4" s="18">
        <v>24</v>
      </c>
      <c r="S4" s="18">
        <v>44</v>
      </c>
      <c r="T4" s="18">
        <v>152</v>
      </c>
      <c r="U4" s="24"/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5</v>
      </c>
      <c r="AE4" s="27">
        <f>COUNTIFS(P4:AA11,"&gt;50",P4:AA11,"&lt;126",B4:M11,"=i")</f>
        <v>0</v>
      </c>
      <c r="AF4" s="28">
        <f>COUNTIFS(P4:AA11,"&gt;50",P4:AA11,"&lt;126",B4:M11,"=s")</f>
        <v>3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/>
      <c r="C5" s="18"/>
      <c r="D5" s="18" t="s">
        <v>18</v>
      </c>
      <c r="E5" s="18" t="s">
        <v>35</v>
      </c>
      <c r="F5" s="18" t="s">
        <v>18</v>
      </c>
      <c r="G5" s="18"/>
      <c r="H5" s="18"/>
      <c r="I5" s="21"/>
      <c r="J5" s="21"/>
      <c r="K5" s="22"/>
      <c r="L5" s="22"/>
      <c r="M5" s="22"/>
      <c r="N5" s="6"/>
      <c r="O5" s="23" t="s">
        <v>34</v>
      </c>
      <c r="P5" s="18"/>
      <c r="Q5" s="24"/>
      <c r="R5" s="18">
        <v>47</v>
      </c>
      <c r="S5" s="18">
        <v>72</v>
      </c>
      <c r="T5" s="18">
        <v>111</v>
      </c>
      <c r="U5" s="24"/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1</v>
      </c>
      <c r="AE5" s="27">
        <f>COUNTIFS(P5:AA12,"&gt;125",P5:AA12,"&lt;251",B5:M12,"=i")</f>
        <v>0</v>
      </c>
      <c r="AF5" s="28">
        <f>COUNTIFS(P5:AA12,"&gt;125",P5:AA12,"&lt;251",B5:M12,"=s")</f>
        <v>0</v>
      </c>
      <c r="AG5" s="30">
        <f>COUNTIFS(P5:AA12,"&gt;125",P5:AA12,"&lt;251",B5:M12,"=g")</f>
        <v>0</v>
      </c>
      <c r="AH5" s="10"/>
    </row>
    <row r="6" spans="1:34">
      <c r="A6" s="16" t="s">
        <v>38</v>
      </c>
      <c r="B6" s="18"/>
      <c r="C6" s="18"/>
      <c r="D6" s="18" t="s">
        <v>18</v>
      </c>
      <c r="E6" s="18" t="s">
        <v>18</v>
      </c>
      <c r="F6" s="18" t="s">
        <v>18</v>
      </c>
      <c r="G6" s="18"/>
      <c r="H6" s="21"/>
      <c r="I6" s="21"/>
      <c r="J6" s="21"/>
      <c r="K6" s="22"/>
      <c r="L6" s="22"/>
      <c r="M6" s="22"/>
      <c r="N6" s="6"/>
      <c r="O6" s="23" t="s">
        <v>38</v>
      </c>
      <c r="P6" s="24"/>
      <c r="Q6" s="24"/>
      <c r="R6" s="18" t="s">
        <v>37</v>
      </c>
      <c r="S6" s="18">
        <v>33</v>
      </c>
      <c r="T6" s="18">
        <v>52</v>
      </c>
      <c r="U6" s="24"/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0</v>
      </c>
      <c r="AE6" s="27">
        <f>COUNTIFS(P6:AA13,"&gt;250",P6:AA13,"&lt;501",B6:M13,"=i")</f>
        <v>0</v>
      </c>
      <c r="AF6" s="28">
        <f>COUNTIFS(P6:AA13,"&gt;250",P6:AA13,"&lt;501",B6:M13,"=s")</f>
        <v>0</v>
      </c>
      <c r="AG6" s="30">
        <f>COUNTIFS(P6:AA13,"&gt;250",P6:AA13,"&lt;501",B6:M13,"=g")</f>
        <v>0</v>
      </c>
      <c r="AH6" s="10"/>
    </row>
    <row r="7" spans="1:34">
      <c r="A7" s="16" t="s">
        <v>40</v>
      </c>
      <c r="B7" s="18"/>
      <c r="C7" s="21"/>
      <c r="D7" s="18" t="s">
        <v>18</v>
      </c>
      <c r="E7" s="18"/>
      <c r="F7" s="18"/>
      <c r="G7" s="21"/>
      <c r="H7" s="21"/>
      <c r="I7" s="21"/>
      <c r="J7" s="21"/>
      <c r="K7" s="22"/>
      <c r="L7" s="22"/>
      <c r="M7" s="22"/>
      <c r="N7" s="6"/>
      <c r="O7" s="23" t="s">
        <v>40</v>
      </c>
      <c r="P7" s="24"/>
      <c r="Q7" s="24"/>
      <c r="R7" s="18">
        <v>74</v>
      </c>
      <c r="S7" s="24"/>
      <c r="T7" s="24"/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COUNTIFS(P7:AA14,"&gt;500",B7:M14,"=i")</f>
        <v>0</v>
      </c>
      <c r="AF7" s="28">
        <f>COUNTIFS(P7:AA14,"&gt;500",B7:M14,"=s")</f>
        <v>0</v>
      </c>
      <c r="AG7" s="30">
        <f>COUNTIFS(P7:AA14,"&gt;500",B7:M14,"=g")</f>
        <v>0</v>
      </c>
      <c r="AH7" s="10"/>
    </row>
    <row r="8" spans="1:34">
      <c r="A8" s="16" t="s">
        <v>42</v>
      </c>
      <c r="B8" s="18"/>
      <c r="C8" s="21"/>
      <c r="D8" s="18" t="s">
        <v>18</v>
      </c>
      <c r="E8" s="18"/>
      <c r="F8" s="18"/>
      <c r="G8" s="21"/>
      <c r="H8" s="21"/>
      <c r="I8" s="21"/>
      <c r="J8" s="21"/>
      <c r="K8" s="22"/>
      <c r="L8" s="22"/>
      <c r="M8" s="22"/>
      <c r="N8" s="6"/>
      <c r="O8" s="23" t="s">
        <v>42</v>
      </c>
      <c r="P8" s="24"/>
      <c r="Q8" s="24"/>
      <c r="R8" s="18">
        <v>40</v>
      </c>
      <c r="S8" s="24"/>
      <c r="T8" s="24"/>
      <c r="U8" s="24"/>
      <c r="V8" s="24"/>
      <c r="W8" s="24"/>
      <c r="X8" s="24"/>
      <c r="Y8" s="24"/>
      <c r="Z8" s="24"/>
      <c r="AA8" s="24"/>
      <c r="AB8" s="10"/>
      <c r="AC8" s="10"/>
      <c r="AE8" s="10"/>
      <c r="AF8" s="10"/>
      <c r="AG8" s="10"/>
      <c r="AH8" s="10"/>
    </row>
    <row r="9" spans="1:34">
      <c r="A9" s="16" t="s">
        <v>43</v>
      </c>
      <c r="B9" s="18"/>
      <c r="C9" s="18"/>
      <c r="D9" s="18" t="s">
        <v>44</v>
      </c>
      <c r="E9" s="18"/>
      <c r="F9" s="18"/>
      <c r="G9" s="18"/>
      <c r="H9" s="21"/>
      <c r="I9" s="21"/>
      <c r="J9" s="21"/>
      <c r="K9" s="22"/>
      <c r="L9" s="21" t="s">
        <v>45</v>
      </c>
      <c r="M9" s="21" t="s">
        <v>46</v>
      </c>
      <c r="N9" s="6"/>
      <c r="O9" s="23" t="s">
        <v>43</v>
      </c>
      <c r="P9" s="24"/>
      <c r="Q9" s="24"/>
      <c r="R9" s="18">
        <v>46</v>
      </c>
      <c r="S9" s="24"/>
      <c r="T9" s="24"/>
      <c r="U9" s="24"/>
      <c r="V9" s="24"/>
      <c r="W9" s="24"/>
      <c r="X9" s="24"/>
      <c r="Y9" s="24"/>
      <c r="Z9" s="18">
        <v>23</v>
      </c>
      <c r="AA9" s="18">
        <v>35</v>
      </c>
      <c r="AB9" s="10"/>
      <c r="AC9" s="2" t="s">
        <v>48</v>
      </c>
      <c r="AD9" s="3">
        <f>SUM(AD3:AD7)</f>
        <v>17</v>
      </c>
      <c r="AE9" s="10"/>
      <c r="AF9" s="10"/>
      <c r="AG9" s="10"/>
      <c r="AH9" s="10"/>
    </row>
    <row r="10" spans="1:34">
      <c r="A10" s="16" t="s">
        <v>47</v>
      </c>
      <c r="B10" s="18"/>
      <c r="C10" s="18"/>
      <c r="D10" s="18" t="s">
        <v>17</v>
      </c>
      <c r="E10" s="18"/>
      <c r="F10" s="18"/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24"/>
      <c r="Q10" s="24"/>
      <c r="R10" s="18">
        <v>41</v>
      </c>
      <c r="S10" s="24"/>
      <c r="T10" s="24"/>
      <c r="U10" s="24"/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3"/>
      <c r="V11" s="3"/>
      <c r="W11" s="3"/>
      <c r="X11" s="3"/>
      <c r="Y11" s="3"/>
      <c r="Z11" s="3"/>
      <c r="AA11" s="3"/>
      <c r="AB11" s="3"/>
      <c r="AC11" s="3"/>
      <c r="AE11" s="3"/>
      <c r="AF11" s="3"/>
      <c r="AG11" s="3"/>
      <c r="AH11" s="3"/>
    </row>
    <row r="12" spans="1:34">
      <c r="A12" s="2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E12" s="3"/>
      <c r="AF12" s="3"/>
      <c r="AG12" s="3"/>
      <c r="AH12" s="3"/>
    </row>
    <row r="13" spans="1:34" ht="15" customHeight="1">
      <c r="A13" s="203" t="s">
        <v>705</v>
      </c>
    </row>
  </sheetData>
  <conditionalFormatting sqref="P3:AA10">
    <cfRule type="cellIs" dxfId="162" priority="1" operator="equal">
      <formula>"u"</formula>
    </cfRule>
  </conditionalFormatting>
  <conditionalFormatting sqref="P3:AA10">
    <cfRule type="cellIs" dxfId="161" priority="2" operator="equal">
      <formula>"N"</formula>
    </cfRule>
  </conditionalFormatting>
  <conditionalFormatting sqref="P3:AA10">
    <cfRule type="cellIs" dxfId="160" priority="3" operator="equal">
      <formula>"?"</formula>
    </cfRule>
  </conditionalFormatting>
  <conditionalFormatting sqref="P3:AA10">
    <cfRule type="cellIs" dxfId="159" priority="4" operator="equal">
      <formula>"X"</formula>
    </cfRule>
  </conditionalFormatting>
  <conditionalFormatting sqref="P3:AA10">
    <cfRule type="cellIs" dxfId="158" priority="5" operator="equal">
      <formula>0</formula>
    </cfRule>
  </conditionalFormatting>
  <conditionalFormatting sqref="B3:M10">
    <cfRule type="endsWith" dxfId="157" priority="6" operator="endsWith" text="?">
      <formula>RIGHT((B3),LEN("?"))=("?")</formula>
    </cfRule>
  </conditionalFormatting>
  <conditionalFormatting sqref="B3:M10 P3:AA10">
    <cfRule type="notContainsBlanks" dxfId="156" priority="7">
      <formula>LEN(TRIM(B3))&gt;0</formula>
    </cfRule>
  </conditionalFormatting>
  <conditionalFormatting sqref="B3:M10">
    <cfRule type="containsBlanks" dxfId="155" priority="8">
      <formula>LEN(TRIM(B3))=0</formula>
    </cfRule>
  </conditionalFormatting>
  <conditionalFormatting sqref="P3">
    <cfRule type="notContainsBlanks" dxfId="154" priority="9">
      <formula>LEN(TRIM(P3))&gt;0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H45"/>
  <sheetViews>
    <sheetView workbookViewId="0">
      <selection activeCell="U43" sqref="U43"/>
    </sheetView>
  </sheetViews>
  <sheetFormatPr baseColWidth="10" defaultColWidth="11.1640625" defaultRowHeight="15" customHeight="1"/>
  <cols>
    <col min="1" max="13" width="7" customWidth="1"/>
    <col min="15" max="27" width="7.1640625" customWidth="1"/>
  </cols>
  <sheetData>
    <row r="1" spans="1:34">
      <c r="A1" s="2" t="s">
        <v>64</v>
      </c>
      <c r="B1" s="2" t="s">
        <v>65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64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63</v>
      </c>
      <c r="C3" s="20" t="s">
        <v>18</v>
      </c>
      <c r="D3" s="21" t="s">
        <v>66</v>
      </c>
      <c r="E3" s="18" t="s">
        <v>63</v>
      </c>
      <c r="F3" s="18" t="s">
        <v>17</v>
      </c>
      <c r="G3" s="18" t="s">
        <v>17</v>
      </c>
      <c r="H3" s="18" t="s">
        <v>17</v>
      </c>
      <c r="I3" s="21" t="s">
        <v>17</v>
      </c>
      <c r="J3" s="21" t="s">
        <v>17</v>
      </c>
      <c r="K3" s="21" t="s">
        <v>17</v>
      </c>
      <c r="L3" s="21" t="s">
        <v>17</v>
      </c>
      <c r="M3" s="21" t="s">
        <v>17</v>
      </c>
      <c r="N3" s="6"/>
      <c r="O3" s="23" t="s">
        <v>14</v>
      </c>
      <c r="P3" s="18">
        <v>203</v>
      </c>
      <c r="Q3" s="18">
        <v>132</v>
      </c>
      <c r="R3" s="18">
        <v>192</v>
      </c>
      <c r="S3" s="18">
        <v>156</v>
      </c>
      <c r="T3" s="18">
        <v>90</v>
      </c>
      <c r="U3" s="18">
        <v>124</v>
      </c>
      <c r="V3" s="18">
        <v>245</v>
      </c>
      <c r="W3" s="18">
        <v>120</v>
      </c>
      <c r="X3" s="18">
        <v>37</v>
      </c>
      <c r="Y3" s="18">
        <v>51</v>
      </c>
      <c r="Z3" s="18">
        <v>24</v>
      </c>
      <c r="AA3" s="18">
        <v>16</v>
      </c>
      <c r="AB3" s="10"/>
      <c r="AC3" s="25" t="s">
        <v>21</v>
      </c>
      <c r="AD3" s="26">
        <f>COUNTIFS(P3:AA10,"&gt;0",P3:AA10,"&lt;51")</f>
        <v>30</v>
      </c>
      <c r="AE3" s="27">
        <f>(COUNTIFS(P3:AA10,"&gt;0",P3:AA10,"&lt;51",B3:M10,"=i")+COUNTIFS(P3:AA10,"&gt;0",P3:AA10,"&lt;51",B3:M10,"=i - SEM"))</f>
        <v>29</v>
      </c>
      <c r="AF3" s="38">
        <f>(COUNTIFS(P3:AA10,"&gt;0",P3:AA10,"&lt;51",B3:M10,"=s")+COUNTIFS(P3:AA10,"&gt;0",P3:AA10,"&lt;51",B3:M10,"=s - SEM"))</f>
        <v>0</v>
      </c>
      <c r="AG3" s="30">
        <f>(COUNTIFS(P3:AA10,"&gt;0",P3:AA10,"&lt;51",B3:M10,"=g")+COUNTIFS(P3:AA10,"&gt;0",P3:AA10,"&lt;51",B3:M10,"=g - SEM"))</f>
        <v>0</v>
      </c>
      <c r="AH3" s="10"/>
    </row>
    <row r="4" spans="1:34">
      <c r="A4" s="16" t="s">
        <v>32</v>
      </c>
      <c r="B4" s="18" t="s">
        <v>68</v>
      </c>
      <c r="C4" s="18" t="s">
        <v>66</v>
      </c>
      <c r="D4" s="18" t="s">
        <v>18</v>
      </c>
      <c r="E4" s="18" t="s">
        <v>63</v>
      </c>
      <c r="F4" s="18" t="s">
        <v>18</v>
      </c>
      <c r="G4" s="18" t="s">
        <v>18</v>
      </c>
      <c r="H4" s="18" t="s">
        <v>53</v>
      </c>
      <c r="I4" s="21" t="s">
        <v>17</v>
      </c>
      <c r="J4" s="21" t="s">
        <v>17</v>
      </c>
      <c r="K4" s="21" t="s">
        <v>17</v>
      </c>
      <c r="L4" s="21" t="s">
        <v>17</v>
      </c>
      <c r="M4" s="21" t="s">
        <v>17</v>
      </c>
      <c r="N4" s="6"/>
      <c r="O4" s="23" t="s">
        <v>32</v>
      </c>
      <c r="P4" s="18">
        <v>180</v>
      </c>
      <c r="Q4" s="18">
        <v>177</v>
      </c>
      <c r="R4" s="18">
        <v>119</v>
      </c>
      <c r="S4" s="18">
        <v>156</v>
      </c>
      <c r="T4" s="18">
        <v>185</v>
      </c>
      <c r="U4" s="18">
        <v>171</v>
      </c>
      <c r="V4" s="18">
        <v>99</v>
      </c>
      <c r="W4" s="18">
        <v>51</v>
      </c>
      <c r="X4" s="18">
        <v>19</v>
      </c>
      <c r="Y4" s="18">
        <v>36</v>
      </c>
      <c r="Z4" s="18">
        <v>48</v>
      </c>
      <c r="AA4" s="18">
        <v>41</v>
      </c>
      <c r="AB4" s="10"/>
      <c r="AC4" s="25" t="s">
        <v>33</v>
      </c>
      <c r="AD4" s="31">
        <f>COUNTIFS(P3:AA10,"&gt;50",P3:AA10,"&lt;126")</f>
        <v>20</v>
      </c>
      <c r="AE4" s="27">
        <f>(COUNTIFS(P3:AA10,"&gt;50",P3:AA10,"&lt;126",B3:M10,"=i")+COUNTIFS(P3:AA10,"&gt;50",P3:AA10,"&lt;126",B3:M10,"=i - SEM"))</f>
        <v>16</v>
      </c>
      <c r="AF4" s="28">
        <f>(COUNTIFS(P3:AA10,"&gt;50",P3:AA10,"&lt;126",B3:M10,"=s")+COUNTIFS(P3:AA10,"&gt;50",P3:AA10,"&lt;126",B3:M10,"=s - SEM"))</f>
        <v>2</v>
      </c>
      <c r="AG4" s="30">
        <f>(COUNTIFS(P3:AA10,"&gt;50",P3:AA10,"&lt;126",B3:M10,"=g")+COUNTIFS(P3:AA10,"&gt;50",P3:AA10,"&lt;126",B3:M10,"=g - SEM"))</f>
        <v>2</v>
      </c>
      <c r="AH4" s="10"/>
    </row>
    <row r="5" spans="1:34">
      <c r="A5" s="16" t="s">
        <v>34</v>
      </c>
      <c r="B5" s="18" t="s">
        <v>68</v>
      </c>
      <c r="C5" s="18" t="s">
        <v>63</v>
      </c>
      <c r="D5" s="18" t="s">
        <v>63</v>
      </c>
      <c r="E5" s="18" t="s">
        <v>17</v>
      </c>
      <c r="F5" s="18" t="s">
        <v>53</v>
      </c>
      <c r="G5" s="18" t="s">
        <v>17</v>
      </c>
      <c r="H5" s="18" t="s">
        <v>18</v>
      </c>
      <c r="I5" s="21" t="s">
        <v>17</v>
      </c>
      <c r="J5" s="21" t="s">
        <v>17</v>
      </c>
      <c r="K5" s="21" t="s">
        <v>17</v>
      </c>
      <c r="L5" s="21" t="s">
        <v>63</v>
      </c>
      <c r="M5" s="21" t="s">
        <v>17</v>
      </c>
      <c r="N5" s="6"/>
      <c r="O5" s="23" t="s">
        <v>34</v>
      </c>
      <c r="P5" s="18">
        <v>162</v>
      </c>
      <c r="Q5" s="18">
        <v>236.71899999999999</v>
      </c>
      <c r="R5" s="18">
        <v>144</v>
      </c>
      <c r="S5" s="18">
        <v>141</v>
      </c>
      <c r="T5" s="18">
        <v>110</v>
      </c>
      <c r="U5" s="18">
        <v>130</v>
      </c>
      <c r="V5" s="18">
        <v>80</v>
      </c>
      <c r="W5" s="18">
        <v>20</v>
      </c>
      <c r="X5" s="18">
        <v>42</v>
      </c>
      <c r="Y5" s="18">
        <v>49</v>
      </c>
      <c r="Z5" s="18">
        <v>360.66199999999998</v>
      </c>
      <c r="AA5" s="18">
        <v>40</v>
      </c>
      <c r="AB5" s="10"/>
      <c r="AC5" s="25" t="s">
        <v>36</v>
      </c>
      <c r="AD5" s="31">
        <f>COUNTIFS(P3:AA10,"&gt;125",P3:AA10,"&lt;251")</f>
        <v>40</v>
      </c>
      <c r="AE5" s="27">
        <f>(COUNTIFS(P3:AA10,"&gt;125",P3:AA10,"&lt;251",B3:M10,"=i")+COUNTIFS(P3:AA10,"&gt;125",P3:AA10,"&lt;251",B3:M10,"=i - SEM"))</f>
        <v>26</v>
      </c>
      <c r="AF5" s="28">
        <f>(COUNTIFS(P3:AA10,"&gt;125",P3:AA10,"&lt;251",B3:M10,"=s")+COUNTIFS(P3:AA10,"&gt;125",P3:AA10,"&lt;251",B3:M10,"=s - SEM"))</f>
        <v>12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 t="s">
        <v>63</v>
      </c>
      <c r="C6" s="18" t="s">
        <v>63</v>
      </c>
      <c r="D6" s="18" t="s">
        <v>63</v>
      </c>
      <c r="E6" s="18" t="s">
        <v>17</v>
      </c>
      <c r="F6" s="18" t="s">
        <v>17</v>
      </c>
      <c r="G6" s="18" t="s">
        <v>17</v>
      </c>
      <c r="H6" s="21" t="s">
        <v>17</v>
      </c>
      <c r="I6" s="21" t="s">
        <v>17</v>
      </c>
      <c r="J6" s="21" t="s">
        <v>17</v>
      </c>
      <c r="K6" s="21" t="s">
        <v>17</v>
      </c>
      <c r="L6" s="21" t="s">
        <v>17</v>
      </c>
      <c r="M6" s="21" t="s">
        <v>17</v>
      </c>
      <c r="N6" s="6"/>
      <c r="O6" s="23" t="s">
        <v>38</v>
      </c>
      <c r="P6" s="18">
        <v>152.20599999999999</v>
      </c>
      <c r="Q6" s="18">
        <v>225</v>
      </c>
      <c r="R6" s="18">
        <v>177</v>
      </c>
      <c r="S6" s="18">
        <v>126</v>
      </c>
      <c r="T6" s="18">
        <v>186</v>
      </c>
      <c r="U6" s="18">
        <v>131</v>
      </c>
      <c r="V6" s="18">
        <v>218</v>
      </c>
      <c r="W6" s="18">
        <v>19</v>
      </c>
      <c r="X6" s="18">
        <v>20</v>
      </c>
      <c r="Y6" s="18">
        <v>50</v>
      </c>
      <c r="Z6" s="18">
        <v>163</v>
      </c>
      <c r="AA6" s="18">
        <v>40</v>
      </c>
      <c r="AB6" s="10"/>
      <c r="AC6" s="25" t="s">
        <v>39</v>
      </c>
      <c r="AD6" s="31">
        <f>COUNTIFS(P3:AA10,"&gt;250",P3:AA10,"&lt;501")</f>
        <v>4</v>
      </c>
      <c r="AE6" s="27">
        <f>(COUNTIFS(P3:AA10,"&gt;250",P3:AA10,"&lt;501",B3:M10,"=i")+COUNTIFS(P3:AA10,"&gt;250",P3:AA10,"&lt;501",B3:M10,"=i - SEM"))</f>
        <v>2</v>
      </c>
      <c r="AF6" s="28">
        <f>(COUNTIFS(P3:AA10,"&gt;250",P3:AA10,"&lt;501",B3:M10,"=s")+COUNTIFS(P3:AA10,"&gt;250",P3:AA10,"&lt;501",B3:M10,"=s - SEM"))</f>
        <v>2</v>
      </c>
      <c r="AG6" s="30">
        <f>(COUNTIFS(P3:AA10,"&gt;250",P3:AA10,"&lt;501",B3:M10,"=s")+COUNTIFS(P3:AA10,"&gt;250",P3:AA10,"&lt;501",B3:M10,"=g - SEM"))</f>
        <v>0</v>
      </c>
      <c r="AH6" s="10"/>
    </row>
    <row r="7" spans="1:34">
      <c r="A7" s="16" t="s">
        <v>40</v>
      </c>
      <c r="B7" s="18" t="s">
        <v>17</v>
      </c>
      <c r="C7" s="21" t="s">
        <v>63</v>
      </c>
      <c r="D7" s="18" t="s">
        <v>63</v>
      </c>
      <c r="E7" s="18" t="s">
        <v>63</v>
      </c>
      <c r="F7" s="18" t="s">
        <v>17</v>
      </c>
      <c r="G7" s="21" t="s">
        <v>17</v>
      </c>
      <c r="H7" s="21" t="s">
        <v>17</v>
      </c>
      <c r="I7" s="21" t="s">
        <v>17</v>
      </c>
      <c r="J7" s="21" t="s">
        <v>17</v>
      </c>
      <c r="K7" s="21" t="s">
        <v>17</v>
      </c>
      <c r="L7" s="21" t="s">
        <v>17</v>
      </c>
      <c r="M7" s="21" t="s">
        <v>17</v>
      </c>
      <c r="N7" s="6"/>
      <c r="O7" s="23" t="s">
        <v>40</v>
      </c>
      <c r="P7" s="18">
        <v>118</v>
      </c>
      <c r="Q7" s="18">
        <v>182.81299999999999</v>
      </c>
      <c r="R7" s="18">
        <v>161</v>
      </c>
      <c r="S7" s="18">
        <v>190</v>
      </c>
      <c r="T7" s="18">
        <v>85</v>
      </c>
      <c r="U7" s="18">
        <v>169</v>
      </c>
      <c r="V7" s="18">
        <v>102</v>
      </c>
      <c r="W7" s="18">
        <v>20</v>
      </c>
      <c r="X7" s="18">
        <v>40</v>
      </c>
      <c r="Y7" s="18">
        <v>44</v>
      </c>
      <c r="Z7" s="18">
        <v>66</v>
      </c>
      <c r="AA7" s="18">
        <v>48</v>
      </c>
      <c r="AB7" s="10"/>
      <c r="AC7" s="25" t="s">
        <v>41</v>
      </c>
      <c r="AD7" s="31">
        <f>COUNTIF(P3:AA10,"&gt;500")</f>
        <v>0</v>
      </c>
      <c r="AE7" s="27">
        <f>COUNTIFS(P3:AA10,"&gt;500",B3:M10,"=i")</f>
        <v>0</v>
      </c>
      <c r="AF7" s="28">
        <f>COUNTIFS(P3:AA10,"&gt;500",B3:M10,"=s")</f>
        <v>0</v>
      </c>
      <c r="AG7" s="30">
        <f>COUNTIFS(P3:AA10,"&gt;500",B3:M10,"=g")</f>
        <v>0</v>
      </c>
      <c r="AH7" s="10"/>
    </row>
    <row r="8" spans="1:34">
      <c r="A8" s="16" t="s">
        <v>42</v>
      </c>
      <c r="B8" s="18" t="s">
        <v>18</v>
      </c>
      <c r="C8" s="21" t="s">
        <v>17</v>
      </c>
      <c r="D8" s="18" t="s">
        <v>66</v>
      </c>
      <c r="E8" s="18" t="s">
        <v>66</v>
      </c>
      <c r="F8" s="18" t="s">
        <v>66</v>
      </c>
      <c r="G8" s="21" t="s">
        <v>17</v>
      </c>
      <c r="H8" s="21" t="s">
        <v>18</v>
      </c>
      <c r="I8" s="21" t="s">
        <v>35</v>
      </c>
      <c r="J8" s="21" t="s">
        <v>17</v>
      </c>
      <c r="K8" s="21" t="s">
        <v>17</v>
      </c>
      <c r="L8" s="21" t="s">
        <v>17</v>
      </c>
      <c r="M8" s="21" t="s">
        <v>17</v>
      </c>
      <c r="N8" s="6"/>
      <c r="O8" s="23" t="s">
        <v>42</v>
      </c>
      <c r="P8" s="18">
        <v>136</v>
      </c>
      <c r="Q8" s="18">
        <v>287</v>
      </c>
      <c r="R8" s="18">
        <v>167</v>
      </c>
      <c r="S8" s="18">
        <v>153</v>
      </c>
      <c r="T8" s="18">
        <v>256</v>
      </c>
      <c r="U8" s="18">
        <v>122</v>
      </c>
      <c r="V8" s="18">
        <v>204</v>
      </c>
      <c r="W8" s="18">
        <v>45</v>
      </c>
      <c r="X8" s="18">
        <v>51</v>
      </c>
      <c r="Y8" s="18">
        <v>51</v>
      </c>
      <c r="Z8" s="18">
        <v>44</v>
      </c>
      <c r="AA8" s="18">
        <v>58</v>
      </c>
      <c r="AB8" s="10"/>
      <c r="AC8" s="10"/>
      <c r="AD8" s="10">
        <f>SUM(AD3:AD7)</f>
        <v>94</v>
      </c>
      <c r="AE8" s="10"/>
      <c r="AF8" s="10"/>
      <c r="AG8" s="10"/>
      <c r="AH8" s="10"/>
    </row>
    <row r="9" spans="1:34">
      <c r="A9" s="16" t="s">
        <v>43</v>
      </c>
      <c r="B9" s="18" t="s">
        <v>63</v>
      </c>
      <c r="C9" s="18" t="s">
        <v>63</v>
      </c>
      <c r="D9" s="18" t="s">
        <v>66</v>
      </c>
      <c r="E9" s="18" t="s">
        <v>17</v>
      </c>
      <c r="F9" s="18" t="s">
        <v>17</v>
      </c>
      <c r="G9" s="18" t="s">
        <v>17</v>
      </c>
      <c r="H9" s="21" t="s">
        <v>17</v>
      </c>
      <c r="I9" s="21" t="s">
        <v>17</v>
      </c>
      <c r="J9" s="21" t="s">
        <v>17</v>
      </c>
      <c r="K9" s="21" t="s">
        <v>17</v>
      </c>
      <c r="L9" s="21" t="s">
        <v>17</v>
      </c>
      <c r="M9" s="21" t="s">
        <v>17</v>
      </c>
      <c r="N9" s="6"/>
      <c r="O9" s="23" t="s">
        <v>43</v>
      </c>
      <c r="P9" s="18">
        <v>184</v>
      </c>
      <c r="Q9" s="18">
        <v>149</v>
      </c>
      <c r="R9" s="18">
        <v>277.94099999999997</v>
      </c>
      <c r="S9" s="18">
        <v>216</v>
      </c>
      <c r="T9" s="18">
        <v>117</v>
      </c>
      <c r="U9" s="18" t="s">
        <v>37</v>
      </c>
      <c r="V9" s="18">
        <v>24</v>
      </c>
      <c r="W9" s="18">
        <v>53</v>
      </c>
      <c r="X9" s="18">
        <v>44</v>
      </c>
      <c r="Y9" s="18">
        <v>45</v>
      </c>
      <c r="Z9" s="18">
        <v>48</v>
      </c>
      <c r="AA9" s="18" t="s">
        <v>37</v>
      </c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 t="s">
        <v>18</v>
      </c>
      <c r="C10" s="18" t="s">
        <v>17</v>
      </c>
      <c r="D10" s="18" t="s">
        <v>66</v>
      </c>
      <c r="E10" s="18" t="s">
        <v>17</v>
      </c>
      <c r="F10" s="18" t="s">
        <v>17</v>
      </c>
      <c r="G10" s="18" t="s">
        <v>18</v>
      </c>
      <c r="H10" s="21" t="s">
        <v>17</v>
      </c>
      <c r="I10" s="21" t="s">
        <v>17</v>
      </c>
      <c r="J10" s="21" t="s">
        <v>17</v>
      </c>
      <c r="K10" s="21" t="s">
        <v>17</v>
      </c>
      <c r="L10" s="18" t="s">
        <v>17</v>
      </c>
      <c r="M10" s="18" t="s">
        <v>17</v>
      </c>
      <c r="N10" s="6"/>
      <c r="O10" s="23" t="s">
        <v>47</v>
      </c>
      <c r="P10" s="18">
        <v>132</v>
      </c>
      <c r="Q10" s="18">
        <v>124</v>
      </c>
      <c r="R10" s="18">
        <v>213.41900000000001</v>
      </c>
      <c r="S10" s="18">
        <v>163</v>
      </c>
      <c r="T10" s="18">
        <v>156</v>
      </c>
      <c r="U10" s="18">
        <v>154</v>
      </c>
      <c r="V10" s="18">
        <v>180</v>
      </c>
      <c r="W10" s="18">
        <v>48</v>
      </c>
      <c r="X10" s="18">
        <v>42</v>
      </c>
      <c r="Y10" s="18">
        <v>45</v>
      </c>
      <c r="Z10" s="18">
        <v>26</v>
      </c>
      <c r="AA10" s="18">
        <v>44</v>
      </c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3" spans="1:34">
      <c r="A13" s="2" t="s">
        <v>70</v>
      </c>
      <c r="B13" s="2" t="s">
        <v>71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 t="s">
        <v>70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34">
      <c r="A14" s="4" t="s">
        <v>3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6"/>
      <c r="O14" s="7" t="s">
        <v>8</v>
      </c>
      <c r="P14" s="8">
        <v>1</v>
      </c>
      <c r="Q14" s="8">
        <v>2</v>
      </c>
      <c r="R14" s="8">
        <v>3</v>
      </c>
      <c r="S14" s="8">
        <v>4</v>
      </c>
      <c r="T14" s="8">
        <v>5</v>
      </c>
      <c r="U14" s="8">
        <v>6</v>
      </c>
      <c r="V14" s="8">
        <v>7</v>
      </c>
      <c r="W14" s="8">
        <v>8</v>
      </c>
      <c r="X14" s="8">
        <v>9</v>
      </c>
      <c r="Y14" s="8">
        <v>10</v>
      </c>
      <c r="Z14" s="8">
        <v>11</v>
      </c>
      <c r="AA14" s="8">
        <v>12</v>
      </c>
      <c r="AC14" s="11" t="s">
        <v>9</v>
      </c>
      <c r="AD14" s="12" t="s">
        <v>10</v>
      </c>
      <c r="AE14" s="13" t="s">
        <v>11</v>
      </c>
      <c r="AF14" s="13" t="s">
        <v>12</v>
      </c>
      <c r="AG14" s="13" t="s">
        <v>13</v>
      </c>
      <c r="AH14" s="14"/>
    </row>
    <row r="15" spans="1:34">
      <c r="A15" s="16" t="s">
        <v>14</v>
      </c>
      <c r="B15" s="18" t="s">
        <v>17</v>
      </c>
      <c r="C15" s="20" t="s">
        <v>18</v>
      </c>
      <c r="D15" s="21" t="s">
        <v>35</v>
      </c>
      <c r="E15" s="18" t="s">
        <v>63</v>
      </c>
      <c r="F15" s="18" t="s">
        <v>18</v>
      </c>
      <c r="G15" s="18" t="s">
        <v>18</v>
      </c>
      <c r="H15" s="18" t="s">
        <v>18</v>
      </c>
      <c r="I15" s="21"/>
      <c r="J15" s="22"/>
      <c r="K15" s="22"/>
      <c r="L15" s="22"/>
      <c r="M15" s="22"/>
      <c r="N15" s="6"/>
      <c r="O15" s="23" t="s">
        <v>14</v>
      </c>
      <c r="P15" s="18">
        <v>154</v>
      </c>
      <c r="Q15" s="18">
        <v>135</v>
      </c>
      <c r="R15" s="18">
        <v>213</v>
      </c>
      <c r="S15" s="18">
        <v>250.446</v>
      </c>
      <c r="T15" s="18">
        <v>137</v>
      </c>
      <c r="U15" s="18">
        <v>167</v>
      </c>
      <c r="V15" s="18">
        <v>137</v>
      </c>
      <c r="W15" s="18"/>
      <c r="X15" s="18"/>
      <c r="Y15" s="18"/>
      <c r="Z15" s="18"/>
      <c r="AA15" s="18"/>
      <c r="AC15" s="25" t="s">
        <v>21</v>
      </c>
      <c r="AD15" s="26">
        <f>COUNTIFS(P15:AA22,"&gt;0",P15:AA22,"&lt;51")</f>
        <v>2</v>
      </c>
      <c r="AE15" s="27">
        <f>(COUNTIFS(P15:AA22,"&gt;0",P15:AA22,"&lt;51",B15:M22,"=i")+COUNTIFS(P15:AA22,"&gt;0",P15:AA22,"&lt;51",B15:M22,"=i - SEM")+COUNTIFS(P15:AA22,"&gt;0",P15:AA22,"&lt;51",B15:M22,"i (+ 2nd ?)"))</f>
        <v>0</v>
      </c>
      <c r="AF15" s="38">
        <f>(COUNTIFS(P15:AA22,"&gt;0",P15:AA22,"&lt;51",B15:M22,"=s")+COUNTIFS(P15:AA22,"&gt;0",P15:AA22,"&lt;51",B15:M22,"=s - SEM"))</f>
        <v>1</v>
      </c>
      <c r="AG15" s="30">
        <f>(COUNTIFS(P15:AA22,"&gt;0",P15:AA22,"&lt;51",B15:M22,"=g")+COUNTIFS(P15:AA22,"&gt;0",P15:AA22,"&lt;51",B15:M22,"=g - SEM"))</f>
        <v>0</v>
      </c>
      <c r="AH15" s="10"/>
    </row>
    <row r="16" spans="1:34">
      <c r="A16" s="16" t="s">
        <v>32</v>
      </c>
      <c r="B16" s="18" t="s">
        <v>18</v>
      </c>
      <c r="C16" s="18" t="s">
        <v>35</v>
      </c>
      <c r="D16" s="18" t="s">
        <v>35</v>
      </c>
      <c r="E16" s="18" t="s">
        <v>73</v>
      </c>
      <c r="F16" s="18" t="s">
        <v>63</v>
      </c>
      <c r="G16" s="18" t="s">
        <v>35</v>
      </c>
      <c r="H16" s="18" t="s">
        <v>18</v>
      </c>
      <c r="I16" s="21"/>
      <c r="J16" s="21"/>
      <c r="K16" s="22"/>
      <c r="L16" s="22"/>
      <c r="M16" s="22"/>
      <c r="N16" s="6"/>
      <c r="O16" s="23" t="s">
        <v>32</v>
      </c>
      <c r="P16" s="18">
        <v>90</v>
      </c>
      <c r="Q16" s="18">
        <v>190</v>
      </c>
      <c r="R16" s="18">
        <v>187</v>
      </c>
      <c r="S16" s="18">
        <v>173</v>
      </c>
      <c r="T16" s="18" t="s">
        <v>74</v>
      </c>
      <c r="U16" s="18">
        <v>150</v>
      </c>
      <c r="V16" s="18">
        <v>168</v>
      </c>
      <c r="W16" s="18"/>
      <c r="X16" s="18"/>
      <c r="Y16" s="18"/>
      <c r="Z16" s="18"/>
      <c r="AA16" s="18"/>
      <c r="AC16" s="25" t="s">
        <v>33</v>
      </c>
      <c r="AD16" s="31">
        <f>COUNTIFS(P15:AA22,"&gt;50",P15:AA22,"&lt;126")</f>
        <v>10</v>
      </c>
      <c r="AE16" s="27">
        <f>(COUNTIFS(P15:AA22,"&gt;50",P15:AA22,"&lt;126",B15:M22,"=i")+COUNTIFS(P15:AA22,"&gt;50",P15:AA22,"&lt;126",B15:M22,"=i - SEM")+COUNTIFS(P15:AA22,"&gt;50",P15:AA22,"&lt;126",B15:M22,"i (+ 2nd ?)"))</f>
        <v>6</v>
      </c>
      <c r="AF16" s="28">
        <f>(COUNTIFS(P15:AA22,"&gt;50",P15:AA22,"&lt;126",B15:M22,"=s")+COUNTIFS(P15:AA22,"&gt;50",P15:AA22,"&lt;126",B15:M22,"=s - SEM"))</f>
        <v>2</v>
      </c>
      <c r="AG16" s="30">
        <f>(COUNTIFS(P15:AA22,"&gt;50",P15:AA22,"&lt;126",B15:M22,"=g")+COUNTIFS(P15:AA22,"&gt;50",P15:AA22,"&lt;126",B15:M22,"=g - SEM"))</f>
        <v>0</v>
      </c>
      <c r="AH16" s="10"/>
    </row>
    <row r="17" spans="1:34">
      <c r="A17" s="16" t="s">
        <v>34</v>
      </c>
      <c r="B17" s="18" t="s">
        <v>17</v>
      </c>
      <c r="C17" s="18" t="s">
        <v>35</v>
      </c>
      <c r="D17" s="18" t="s">
        <v>17</v>
      </c>
      <c r="E17" s="18" t="s">
        <v>17</v>
      </c>
      <c r="F17" s="18" t="s">
        <v>63</v>
      </c>
      <c r="G17" s="18" t="s">
        <v>18</v>
      </c>
      <c r="H17" s="18" t="s">
        <v>17</v>
      </c>
      <c r="I17" s="21"/>
      <c r="J17" s="21"/>
      <c r="K17" s="22"/>
      <c r="L17" s="22"/>
      <c r="M17" s="22"/>
      <c r="N17" s="6"/>
      <c r="O17" s="23" t="s">
        <v>34</v>
      </c>
      <c r="P17" s="18">
        <v>66</v>
      </c>
      <c r="Q17" s="18">
        <v>188</v>
      </c>
      <c r="R17" s="18">
        <v>225</v>
      </c>
      <c r="S17" s="18">
        <v>198</v>
      </c>
      <c r="T17" s="18">
        <v>140.625</v>
      </c>
      <c r="U17" s="18">
        <v>189</v>
      </c>
      <c r="V17" s="18">
        <v>179</v>
      </c>
      <c r="W17" s="18"/>
      <c r="X17" s="18"/>
      <c r="Y17" s="18"/>
      <c r="Z17" s="18"/>
      <c r="AA17" s="18"/>
      <c r="AC17" s="25" t="s">
        <v>36</v>
      </c>
      <c r="AD17" s="31">
        <f>COUNTIFS(P15:AA22,"&gt;125",P15:AA22,"&lt;251")</f>
        <v>37</v>
      </c>
      <c r="AE17" s="27">
        <f>(COUNTIFS(P15:AA22,"&gt;125",P15:AA22,"&lt;251",B15:M22,"=i")+COUNTIFS(P15:AA22,"&gt;125",P15:AA22,"&lt;251",B15:M22,"=i - SEM")+COUNTIFS(P15:AA22,"&gt;125",P15:AA22,"&lt;251",B15:M22,"i (+ 2nd ?)"))</f>
        <v>16</v>
      </c>
      <c r="AF17" s="28">
        <f>(COUNTIFS(P15:AA22,"&gt;125",P15:AA22,"&lt;251",B15:M22,"=s")+COUNTIFS(P15:AA22,"&gt;125",P15:AA22,"&lt;251",B15:M22,"=s - SEM"))</f>
        <v>10</v>
      </c>
      <c r="AG17" s="30">
        <f>COUNTIFS(P17:AA24,"&gt;125",P17:AA24,"&lt;251",B17:M24,"=g")</f>
        <v>0</v>
      </c>
      <c r="AH17" s="10"/>
    </row>
    <row r="18" spans="1:34">
      <c r="A18" s="16" t="s">
        <v>38</v>
      </c>
      <c r="B18" s="18" t="s">
        <v>17</v>
      </c>
      <c r="C18" s="18" t="s">
        <v>35</v>
      </c>
      <c r="D18" s="18" t="s">
        <v>17</v>
      </c>
      <c r="E18" s="18" t="s">
        <v>63</v>
      </c>
      <c r="F18" s="18" t="s">
        <v>35</v>
      </c>
      <c r="G18" s="18" t="s">
        <v>35</v>
      </c>
      <c r="H18" s="21"/>
      <c r="I18" s="21"/>
      <c r="J18" s="21"/>
      <c r="K18" s="22"/>
      <c r="L18" s="22"/>
      <c r="M18" s="22"/>
      <c r="N18" s="6"/>
      <c r="O18" s="23" t="s">
        <v>38</v>
      </c>
      <c r="P18" s="18">
        <v>66</v>
      </c>
      <c r="Q18" s="18">
        <v>201</v>
      </c>
      <c r="R18" s="18">
        <v>51</v>
      </c>
      <c r="S18" s="18">
        <v>225.58600000000001</v>
      </c>
      <c r="T18" s="18">
        <v>215</v>
      </c>
      <c r="U18" s="18">
        <v>190</v>
      </c>
      <c r="V18" s="18"/>
      <c r="W18" s="18"/>
      <c r="X18" s="18"/>
      <c r="Y18" s="18"/>
      <c r="Z18" s="18"/>
      <c r="AA18" s="18"/>
      <c r="AC18" s="25" t="s">
        <v>39</v>
      </c>
      <c r="AD18" s="31">
        <f>COUNTIFS(P15:AA22,"&gt;250",P15:AA22,"&lt;501")</f>
        <v>1</v>
      </c>
      <c r="AE18" s="27">
        <f>(COUNTIFS(P15:AA22,"&gt;250",P15:AA22,"&lt;501",B15:M22,"=i")+COUNTIFS(P15:AA22,"&gt;250",P15:AA22,"&lt;501",B15:M22,"=i - SEM")+COUNTIFS(P15:AA22,"&gt;250",P15:AA22,"&lt;501",B15:M22,"i (+ 2nd ?)"))</f>
        <v>1</v>
      </c>
      <c r="AF18" s="28">
        <f>(COUNTIFS(P15:AA22,"&gt;250",P15:AA22,"&lt;501",B15:M22,"=s")+COUNTIFS(P15:AA22,"&gt;250",P15:AA22,"&lt;501",B15:M22,"=s - SEM"))</f>
        <v>0</v>
      </c>
      <c r="AG18" s="30">
        <f>(COUNTIFS(P15:AA22,"&gt;250",P15:AA22,"&lt;501",B15:M22,"=s")+COUNTIFS(P15:AA22,"&gt;250",P15:AA22,"&lt;501",B15:M22,"=s - SEM"))</f>
        <v>0</v>
      </c>
      <c r="AH18" s="10"/>
    </row>
    <row r="19" spans="1:34">
      <c r="A19" s="16" t="s">
        <v>40</v>
      </c>
      <c r="B19" s="18" t="s">
        <v>35</v>
      </c>
      <c r="C19" s="21" t="s">
        <v>35</v>
      </c>
      <c r="D19" s="18" t="s">
        <v>35</v>
      </c>
      <c r="E19" s="18" t="s">
        <v>63</v>
      </c>
      <c r="F19" s="18" t="s">
        <v>66</v>
      </c>
      <c r="G19" s="21" t="s">
        <v>18</v>
      </c>
      <c r="H19" s="21"/>
      <c r="I19" s="21"/>
      <c r="J19" s="21"/>
      <c r="K19" s="22"/>
      <c r="L19" s="22"/>
      <c r="M19" s="22"/>
      <c r="N19" s="6"/>
      <c r="O19" s="23" t="s">
        <v>40</v>
      </c>
      <c r="P19" s="18">
        <v>61</v>
      </c>
      <c r="Q19" s="18" t="s">
        <v>37</v>
      </c>
      <c r="R19" s="18">
        <v>135</v>
      </c>
      <c r="S19" s="18">
        <v>153.125</v>
      </c>
      <c r="T19" s="18">
        <v>213.75</v>
      </c>
      <c r="U19" s="18">
        <v>163</v>
      </c>
      <c r="V19" s="18"/>
      <c r="W19" s="18"/>
      <c r="X19" s="18"/>
      <c r="Y19" s="18"/>
      <c r="Z19" s="18"/>
      <c r="AA19" s="18"/>
      <c r="AC19" s="25" t="s">
        <v>41</v>
      </c>
      <c r="AD19" s="31">
        <f>COUNTIF(P15:AA22,"&gt;500")</f>
        <v>0</v>
      </c>
      <c r="AE19" s="27">
        <f>COUNTIFS(P15:AA22,"&gt;500",B15:M22,"=i")</f>
        <v>0</v>
      </c>
      <c r="AF19" s="28">
        <f>COUNTIFS(P15:AA22,"&gt;500",B15:M22,"=s")</f>
        <v>0</v>
      </c>
      <c r="AG19" s="30">
        <f>COUNTIFS(P15:AA22,"&gt;500",B15:M22,"=g")</f>
        <v>0</v>
      </c>
      <c r="AH19" s="10"/>
    </row>
    <row r="20" spans="1:34">
      <c r="A20" s="16" t="s">
        <v>42</v>
      </c>
      <c r="B20" s="18" t="s">
        <v>17</v>
      </c>
      <c r="C20" s="21" t="s">
        <v>35</v>
      </c>
      <c r="D20" s="18" t="s">
        <v>17</v>
      </c>
      <c r="E20" s="18" t="s">
        <v>63</v>
      </c>
      <c r="F20" s="18" t="s">
        <v>18</v>
      </c>
      <c r="G20" s="21" t="s">
        <v>35</v>
      </c>
      <c r="H20" s="21"/>
      <c r="I20" s="21"/>
      <c r="J20" s="21"/>
      <c r="K20" s="22"/>
      <c r="L20" s="22"/>
      <c r="M20" s="22"/>
      <c r="N20" s="6"/>
      <c r="O20" s="23" t="s">
        <v>42</v>
      </c>
      <c r="P20" s="18">
        <v>148</v>
      </c>
      <c r="Q20" s="18">
        <v>39</v>
      </c>
      <c r="R20" s="18">
        <v>52</v>
      </c>
      <c r="S20" s="18">
        <v>189.47399999999999</v>
      </c>
      <c r="T20" s="18">
        <v>125</v>
      </c>
      <c r="U20" s="18">
        <v>105</v>
      </c>
      <c r="V20" s="18"/>
      <c r="W20" s="18"/>
      <c r="X20" s="18"/>
      <c r="Y20" s="18"/>
      <c r="Z20" s="18"/>
      <c r="AA20" s="18"/>
      <c r="AC20" s="10"/>
      <c r="AD20" s="10">
        <f>SUM(AD15:AD19)</f>
        <v>50</v>
      </c>
      <c r="AE20" s="10"/>
      <c r="AF20" s="10"/>
      <c r="AG20" s="10"/>
    </row>
    <row r="21" spans="1:34">
      <c r="A21" s="16" t="s">
        <v>43</v>
      </c>
      <c r="B21" s="18" t="s">
        <v>35</v>
      </c>
      <c r="C21" s="18" t="s">
        <v>18</v>
      </c>
      <c r="D21" s="18" t="s">
        <v>17</v>
      </c>
      <c r="E21" s="18" t="s">
        <v>18</v>
      </c>
      <c r="F21" s="18" t="s">
        <v>17</v>
      </c>
      <c r="G21" s="18" t="s">
        <v>17</v>
      </c>
      <c r="H21" s="21"/>
      <c r="I21" s="21"/>
      <c r="J21" s="21"/>
      <c r="K21" s="22"/>
      <c r="L21" s="22"/>
      <c r="M21" s="22"/>
      <c r="N21" s="6"/>
      <c r="O21" s="23" t="s">
        <v>43</v>
      </c>
      <c r="P21" s="18" t="s">
        <v>37</v>
      </c>
      <c r="Q21" s="18">
        <v>49</v>
      </c>
      <c r="R21" s="18">
        <v>113</v>
      </c>
      <c r="S21" s="18">
        <v>144</v>
      </c>
      <c r="T21" s="18">
        <v>132</v>
      </c>
      <c r="U21" s="18">
        <v>69</v>
      </c>
      <c r="V21" s="18"/>
      <c r="W21" s="18"/>
      <c r="X21" s="18"/>
      <c r="Y21" s="18"/>
      <c r="Z21" s="18"/>
      <c r="AA21" s="18"/>
    </row>
    <row r="22" spans="1:34">
      <c r="A22" s="16" t="s">
        <v>47</v>
      </c>
      <c r="B22" s="18" t="s">
        <v>17</v>
      </c>
      <c r="C22" s="18" t="s">
        <v>35</v>
      </c>
      <c r="D22" s="18" t="s">
        <v>35</v>
      </c>
      <c r="E22" s="18" t="s">
        <v>17</v>
      </c>
      <c r="F22" s="18" t="s">
        <v>35</v>
      </c>
      <c r="G22" s="18" t="s">
        <v>18</v>
      </c>
      <c r="H22" s="21"/>
      <c r="I22" s="21"/>
      <c r="J22" s="22"/>
      <c r="K22" s="22"/>
      <c r="L22" s="18" t="s">
        <v>17</v>
      </c>
      <c r="M22" s="18" t="s">
        <v>17</v>
      </c>
      <c r="N22" s="6"/>
      <c r="O22" s="23" t="s">
        <v>47</v>
      </c>
      <c r="P22" s="18">
        <v>126</v>
      </c>
      <c r="Q22" s="18">
        <v>213</v>
      </c>
      <c r="R22" s="18">
        <v>150</v>
      </c>
      <c r="S22" s="18">
        <v>172</v>
      </c>
      <c r="T22" s="18" t="s">
        <v>37</v>
      </c>
      <c r="U22" s="18">
        <v>232</v>
      </c>
      <c r="V22" s="18"/>
      <c r="W22" s="18"/>
      <c r="X22" s="18"/>
      <c r="Y22" s="18"/>
      <c r="Z22" s="18">
        <v>213</v>
      </c>
      <c r="AA22" s="18">
        <v>148</v>
      </c>
    </row>
    <row r="24" spans="1:34">
      <c r="U24" s="29"/>
    </row>
    <row r="25" spans="1:34">
      <c r="A25" s="29" t="s">
        <v>80</v>
      </c>
      <c r="O25" s="29" t="s">
        <v>80</v>
      </c>
    </row>
    <row r="26" spans="1:34">
      <c r="A26" s="4" t="s">
        <v>3</v>
      </c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M26" s="5">
        <v>12</v>
      </c>
      <c r="O26" s="7" t="s">
        <v>8</v>
      </c>
      <c r="P26" s="8">
        <v>1</v>
      </c>
      <c r="Q26" s="8">
        <v>2</v>
      </c>
      <c r="R26" s="8">
        <v>3</v>
      </c>
      <c r="S26" s="8">
        <v>4</v>
      </c>
      <c r="T26" s="8">
        <v>5</v>
      </c>
      <c r="U26" s="8">
        <v>6</v>
      </c>
      <c r="V26" s="8">
        <v>7</v>
      </c>
      <c r="W26" s="8">
        <v>8</v>
      </c>
      <c r="X26" s="8">
        <v>9</v>
      </c>
      <c r="Y26" s="8">
        <v>10</v>
      </c>
      <c r="Z26" s="8">
        <v>11</v>
      </c>
      <c r="AA26" s="8">
        <v>12</v>
      </c>
      <c r="AC26" s="11" t="s">
        <v>9</v>
      </c>
      <c r="AD26" s="12" t="s">
        <v>10</v>
      </c>
      <c r="AE26" s="13" t="s">
        <v>11</v>
      </c>
      <c r="AF26" s="13" t="s">
        <v>12</v>
      </c>
      <c r="AG26" s="13" t="s">
        <v>13</v>
      </c>
    </row>
    <row r="27" spans="1:34">
      <c r="A27" s="16" t="s">
        <v>14</v>
      </c>
      <c r="B27" s="18" t="s">
        <v>17</v>
      </c>
      <c r="C27" s="20" t="s">
        <v>17</v>
      </c>
      <c r="D27" s="21" t="s">
        <v>17</v>
      </c>
      <c r="E27" s="18" t="s">
        <v>17</v>
      </c>
      <c r="F27" s="18" t="s">
        <v>17</v>
      </c>
      <c r="G27" s="18" t="s">
        <v>18</v>
      </c>
      <c r="H27" s="18"/>
      <c r="I27" s="21"/>
      <c r="J27" s="22"/>
      <c r="K27" s="22"/>
      <c r="L27" s="22"/>
      <c r="M27" s="22"/>
      <c r="O27" s="23" t="s">
        <v>14</v>
      </c>
      <c r="P27" s="18" t="s">
        <v>37</v>
      </c>
      <c r="Q27" s="18" t="s">
        <v>37</v>
      </c>
      <c r="R27" s="18">
        <v>55</v>
      </c>
      <c r="S27" s="18">
        <v>53</v>
      </c>
      <c r="T27" s="18">
        <v>38</v>
      </c>
      <c r="U27" s="18">
        <v>46</v>
      </c>
      <c r="V27" s="18"/>
      <c r="W27" s="18"/>
      <c r="X27" s="18"/>
      <c r="Y27" s="18"/>
      <c r="Z27" s="18"/>
      <c r="AA27" s="18"/>
      <c r="AC27" s="25" t="s">
        <v>21</v>
      </c>
      <c r="AD27" s="26">
        <f>COUNTIFS(P27:AA34,"&gt;0",P27:AA34,"&lt;51")</f>
        <v>20</v>
      </c>
      <c r="AE27" s="27">
        <f>(COUNTIFS(P27:AA34,"&gt;0",P27:AA34,"&lt;51",B27:M34,"=i")+COUNTIFS(P27:AA34,"&gt;0",P27:AA34,"&lt;51",B27:M34,"=i - SEM")+COUNTIFS(P27:AA34,"&gt;0",P27:AA34,"&lt;51",B27:M34,"i (+ 2nd ?)"))</f>
        <v>12</v>
      </c>
      <c r="AF27" s="38">
        <f>(COUNTIFS(P27:AA34,"&gt;0",P27:AA34,"&lt;51",B27:M34,"=s")+COUNTIFS(P27:AA34,"&gt;0",P27:AA34,"&lt;51",B27:M34,"=s - SEM"))</f>
        <v>8</v>
      </c>
      <c r="AG27" s="30">
        <f>(COUNTIFS(P27:AA34,"&gt;0",P27:AA34,"&lt;51",B27:M34,"=g")+COUNTIFS(P27:AA34,"&gt;0",P27:AA34,"&lt;51",B27:M34,"=g - SEM"))</f>
        <v>0</v>
      </c>
    </row>
    <row r="28" spans="1:34">
      <c r="A28" s="16" t="s">
        <v>32</v>
      </c>
      <c r="B28" s="18" t="s">
        <v>17</v>
      </c>
      <c r="C28" s="18" t="s">
        <v>18</v>
      </c>
      <c r="D28" s="18" t="s">
        <v>17</v>
      </c>
      <c r="E28" s="18" t="s">
        <v>17</v>
      </c>
      <c r="F28" s="18" t="s">
        <v>17</v>
      </c>
      <c r="G28" s="18" t="s">
        <v>18</v>
      </c>
      <c r="H28" s="18"/>
      <c r="I28" s="21"/>
      <c r="J28" s="21"/>
      <c r="K28" s="22"/>
      <c r="L28" s="22"/>
      <c r="M28" s="22"/>
      <c r="O28" s="23" t="s">
        <v>32</v>
      </c>
      <c r="P28" s="18">
        <v>26</v>
      </c>
      <c r="Q28" s="18">
        <v>34</v>
      </c>
      <c r="R28" s="18" t="s">
        <v>37</v>
      </c>
      <c r="S28" s="18">
        <v>97</v>
      </c>
      <c r="T28" s="18">
        <v>76</v>
      </c>
      <c r="U28" s="18" t="s">
        <v>37</v>
      </c>
      <c r="V28" s="18"/>
      <c r="W28" s="18"/>
      <c r="X28" s="18"/>
      <c r="Y28" s="18"/>
      <c r="Z28" s="18"/>
      <c r="AA28" s="18"/>
      <c r="AC28" s="25" t="s">
        <v>33</v>
      </c>
      <c r="AD28" s="31">
        <f>COUNTIFS(P27:AA34,"&gt;50",P27:AA34,"&lt;126")</f>
        <v>13</v>
      </c>
      <c r="AE28" s="27">
        <f>(COUNTIFS(P27:AA34,"&gt;50",P27:AA34,"&lt;126",B27:M34,"=i")+COUNTIFS(P27:AA34,"&gt;50",P27:AA34,"&lt;126",B27:M34,"=i - SEM")+COUNTIFS(P27:AA34,"&gt;50",P27:AA34,"&lt;126",B27:M34,"i (+ 2nd ?)"))</f>
        <v>6</v>
      </c>
      <c r="AF28" s="28">
        <f>(COUNTIFS(P27:AA34,"&gt;50",P27:AA34,"&lt;126",B27:M34,"=s")+COUNTIFS(P27:AA34,"&gt;50",P27:AA34,"&lt;126",B27:M34,"=s - SEM"))</f>
        <v>7</v>
      </c>
      <c r="AG28" s="30">
        <f>(COUNTIFS(P27:AA34,"&gt;50",P27:AA34,"&lt;126",B27:M34,"=g")+COUNTIFS(P27:AA34,"&gt;50",P27:AA34,"&lt;126",B27:M34,"=g - SEM"))</f>
        <v>0</v>
      </c>
    </row>
    <row r="29" spans="1:34">
      <c r="A29" s="16" t="s">
        <v>34</v>
      </c>
      <c r="B29" s="18" t="s">
        <v>18</v>
      </c>
      <c r="C29" s="18" t="s">
        <v>18</v>
      </c>
      <c r="D29" s="18" t="s">
        <v>18</v>
      </c>
      <c r="E29" s="18" t="s">
        <v>18</v>
      </c>
      <c r="F29" s="18" t="s">
        <v>17</v>
      </c>
      <c r="G29" s="18" t="s">
        <v>18</v>
      </c>
      <c r="H29" s="18"/>
      <c r="I29" s="21"/>
      <c r="J29" s="21"/>
      <c r="K29" s="22"/>
      <c r="L29" s="22"/>
      <c r="M29" s="22"/>
      <c r="O29" s="23" t="s">
        <v>34</v>
      </c>
      <c r="P29" s="18">
        <v>30</v>
      </c>
      <c r="Q29" s="18">
        <v>33</v>
      </c>
      <c r="R29" s="18">
        <v>51</v>
      </c>
      <c r="S29" s="18">
        <v>98</v>
      </c>
      <c r="T29" s="18" t="s">
        <v>37</v>
      </c>
      <c r="U29" s="18">
        <v>43</v>
      </c>
      <c r="V29" s="18"/>
      <c r="W29" s="18"/>
      <c r="X29" s="18"/>
      <c r="Y29" s="18"/>
      <c r="Z29" s="18"/>
      <c r="AA29" s="18"/>
      <c r="AC29" s="25" t="s">
        <v>36</v>
      </c>
      <c r="AD29" s="31">
        <f>COUNTIFS(P27:AA34,"&gt;125",P27:AA34,"&lt;251")</f>
        <v>2</v>
      </c>
      <c r="AE29" s="27">
        <f>(COUNTIFS(P27:AA34,"&gt;125",P27:AA34,"&lt;251",B27:M34,"=i")+COUNTIFS(P27:AA34,"&gt;125",P27:AA34,"&lt;251",B27:M34,"=i - SEM")+COUNTIFS(P27:AA34,"&gt;125",P27:AA34,"&lt;251",B27:M34,"i (+ 2nd ?)"))</f>
        <v>0</v>
      </c>
      <c r="AF29" s="28">
        <f>(COUNTIFS(P27:AA34,"&gt;125",P27:AA34,"&lt;251",B27:M34,"=s")+COUNTIFS(P27:AA34,"&gt;125",P27:AA34,"&lt;251",B27:M34,"=s - SEM"))</f>
        <v>2</v>
      </c>
      <c r="AG29" s="30">
        <f>COUNTIFS(P29:AA36,"&gt;125",P29:AA36,"&lt;251",B29:M36,"=g")</f>
        <v>0</v>
      </c>
    </row>
    <row r="30" spans="1:34">
      <c r="A30" s="16" t="s">
        <v>38</v>
      </c>
      <c r="B30" s="18" t="s">
        <v>17</v>
      </c>
      <c r="C30" s="18" t="s">
        <v>17</v>
      </c>
      <c r="D30" s="18" t="s">
        <v>17</v>
      </c>
      <c r="E30" s="18" t="s">
        <v>18</v>
      </c>
      <c r="F30" s="18" t="s">
        <v>17</v>
      </c>
      <c r="G30" s="18" t="s">
        <v>18</v>
      </c>
      <c r="H30" s="21"/>
      <c r="I30" s="21"/>
      <c r="J30" s="21"/>
      <c r="K30" s="22"/>
      <c r="L30" s="22"/>
      <c r="M30" s="22"/>
      <c r="O30" s="23" t="s">
        <v>38</v>
      </c>
      <c r="P30" s="18">
        <v>29</v>
      </c>
      <c r="Q30" s="18">
        <v>49</v>
      </c>
      <c r="R30" s="18">
        <v>48</v>
      </c>
      <c r="S30" s="18" t="s">
        <v>37</v>
      </c>
      <c r="T30" s="18">
        <v>87</v>
      </c>
      <c r="U30" s="18">
        <v>51</v>
      </c>
      <c r="V30" s="18"/>
      <c r="W30" s="18"/>
      <c r="X30" s="18"/>
      <c r="Y30" s="18"/>
      <c r="Z30" s="18"/>
      <c r="AA30" s="18"/>
      <c r="AC30" s="25" t="s">
        <v>39</v>
      </c>
      <c r="AD30" s="31">
        <f>COUNTIFS(P27:AA34,"&gt;250",P27:AA34,"&lt;501")</f>
        <v>0</v>
      </c>
      <c r="AE30" s="27">
        <f>(COUNTIFS(P27:AA34,"&gt;250",P27:AA34,"&lt;501",B27:M34,"=i")+COUNTIFS(P27:AA34,"&gt;250",P27:AA34,"&lt;501",B27:M34,"=i - SEM")+COUNTIFS(P27:AA34,"&gt;250",P27:AA34,"&lt;501",B27:M34,"i (+ 2nd ?)"))</f>
        <v>0</v>
      </c>
      <c r="AF30" s="28">
        <f>(COUNTIFS(P27:AA34,"&gt;250",P27:AA34,"&lt;501",B27:M34,"=s")+COUNTIFS(P27:AA34,"&gt;250",P27:AA34,"&lt;501",B27:M34,"=s - SEM"))</f>
        <v>0</v>
      </c>
      <c r="AG30" s="30">
        <f>(COUNTIFS(P27:AA34,"&gt;250",P27:AA34,"&lt;501",B27:M34,"=s")+COUNTIFS(P27:AA34,"&gt;250",P27:AA34,"&lt;501",B27:M34,"=s - SEM"))</f>
        <v>0</v>
      </c>
    </row>
    <row r="31" spans="1:34">
      <c r="A31" s="16" t="s">
        <v>40</v>
      </c>
      <c r="B31" s="18" t="s">
        <v>17</v>
      </c>
      <c r="C31" s="21" t="s">
        <v>17</v>
      </c>
      <c r="D31" s="18" t="s">
        <v>17</v>
      </c>
      <c r="E31" s="18" t="s">
        <v>18</v>
      </c>
      <c r="F31" s="18" t="s">
        <v>17</v>
      </c>
      <c r="G31" s="21" t="s">
        <v>17</v>
      </c>
      <c r="H31" s="21"/>
      <c r="I31" s="21"/>
      <c r="J31" s="21"/>
      <c r="K31" s="22"/>
      <c r="L31" s="22"/>
      <c r="M31" s="22"/>
      <c r="O31" s="23" t="s">
        <v>40</v>
      </c>
      <c r="P31" s="18">
        <v>40</v>
      </c>
      <c r="Q31" s="18">
        <v>34</v>
      </c>
      <c r="R31" s="18">
        <v>30</v>
      </c>
      <c r="S31" s="18">
        <v>141</v>
      </c>
      <c r="T31" s="18">
        <v>47</v>
      </c>
      <c r="U31" s="18">
        <v>19</v>
      </c>
      <c r="V31" s="18"/>
      <c r="W31" s="18"/>
      <c r="X31" s="18"/>
      <c r="Y31" s="18"/>
      <c r="Z31" s="18"/>
      <c r="AA31" s="18"/>
      <c r="AC31" s="25" t="s">
        <v>41</v>
      </c>
      <c r="AD31" s="31">
        <f>COUNTIF(P27:AA34,"&gt;500")</f>
        <v>0</v>
      </c>
      <c r="AE31" s="27">
        <f>COUNTIFS(P27:AA34,"&gt;500",B27:M34,"=i")</f>
        <v>0</v>
      </c>
      <c r="AF31" s="28">
        <f>COUNTIFS(P27:AA34,"&gt;500",B27:M34,"=s")</f>
        <v>0</v>
      </c>
      <c r="AG31" s="30">
        <f>COUNTIFS(P27:AA34,"&gt;500",B27:M34,"=g")</f>
        <v>0</v>
      </c>
    </row>
    <row r="32" spans="1:34">
      <c r="A32" s="16" t="s">
        <v>42</v>
      </c>
      <c r="B32" s="18" t="s">
        <v>18</v>
      </c>
      <c r="C32" s="21" t="s">
        <v>18</v>
      </c>
      <c r="D32" s="18" t="s">
        <v>18</v>
      </c>
      <c r="E32" s="18" t="s">
        <v>18</v>
      </c>
      <c r="F32" s="18" t="s">
        <v>17</v>
      </c>
      <c r="G32" s="21" t="s">
        <v>18</v>
      </c>
      <c r="H32" s="21"/>
      <c r="I32" s="21"/>
      <c r="J32" s="21"/>
      <c r="K32" s="22"/>
      <c r="L32" s="22"/>
      <c r="M32" s="22"/>
      <c r="O32" s="23" t="s">
        <v>42</v>
      </c>
      <c r="P32" s="18">
        <v>152</v>
      </c>
      <c r="Q32" s="18">
        <v>34</v>
      </c>
      <c r="R32" s="18">
        <v>43</v>
      </c>
      <c r="S32" s="18" t="s">
        <v>37</v>
      </c>
      <c r="T32" s="18">
        <v>42</v>
      </c>
      <c r="U32" s="18">
        <v>72</v>
      </c>
      <c r="V32" s="18"/>
      <c r="W32" s="18"/>
      <c r="X32" s="18"/>
      <c r="Y32" s="18"/>
      <c r="Z32" s="18"/>
      <c r="AA32" s="18"/>
      <c r="AC32" s="10"/>
      <c r="AD32" s="10">
        <f>SUM(AD27:AD31)</f>
        <v>35</v>
      </c>
      <c r="AE32" s="10"/>
      <c r="AF32" s="10"/>
      <c r="AG32" s="10"/>
    </row>
    <row r="33" spans="1:33">
      <c r="A33" s="16" t="s">
        <v>43</v>
      </c>
      <c r="B33" s="18" t="s">
        <v>18</v>
      </c>
      <c r="C33" s="18" t="s">
        <v>17</v>
      </c>
      <c r="D33" s="18" t="s">
        <v>17</v>
      </c>
      <c r="E33" s="18" t="s">
        <v>17</v>
      </c>
      <c r="F33" s="18" t="s">
        <v>18</v>
      </c>
      <c r="G33" s="18" t="s">
        <v>18</v>
      </c>
      <c r="H33" s="21"/>
      <c r="I33" s="21"/>
      <c r="J33" s="21"/>
      <c r="K33" s="22"/>
      <c r="L33" s="22"/>
      <c r="M33" s="22"/>
      <c r="O33" s="23" t="s">
        <v>43</v>
      </c>
      <c r="P33" s="18">
        <v>55</v>
      </c>
      <c r="Q33" s="18" t="s">
        <v>37</v>
      </c>
      <c r="R33" s="18">
        <v>56</v>
      </c>
      <c r="S33" s="18" t="s">
        <v>37</v>
      </c>
      <c r="T33" s="18">
        <v>57</v>
      </c>
      <c r="U33" s="18">
        <v>55</v>
      </c>
      <c r="V33" s="18"/>
      <c r="W33" s="18"/>
      <c r="X33" s="18"/>
      <c r="Y33" s="18"/>
      <c r="Z33" s="18"/>
      <c r="AA33" s="18"/>
    </row>
    <row r="34" spans="1:33">
      <c r="A34" s="16" t="s">
        <v>47</v>
      </c>
      <c r="B34" s="18" t="s">
        <v>17</v>
      </c>
      <c r="C34" s="18" t="s">
        <v>17</v>
      </c>
      <c r="D34" s="18" t="s">
        <v>17</v>
      </c>
      <c r="E34" s="18" t="s">
        <v>17</v>
      </c>
      <c r="F34" s="18" t="s">
        <v>18</v>
      </c>
      <c r="G34" s="18"/>
      <c r="H34" s="21"/>
      <c r="I34" s="21"/>
      <c r="J34" s="22"/>
      <c r="K34" s="22"/>
      <c r="L34" s="18"/>
      <c r="M34" s="18"/>
      <c r="O34" s="23" t="s">
        <v>47</v>
      </c>
      <c r="P34" s="18" t="s">
        <v>37</v>
      </c>
      <c r="Q34" s="18" t="s">
        <v>37</v>
      </c>
      <c r="R34" s="18" t="s">
        <v>37</v>
      </c>
      <c r="S34" s="18">
        <v>27</v>
      </c>
      <c r="T34" s="18">
        <v>48</v>
      </c>
      <c r="U34" s="18"/>
      <c r="V34" s="18"/>
      <c r="W34" s="18"/>
      <c r="X34" s="18"/>
      <c r="Y34" s="18"/>
      <c r="Z34" s="18"/>
      <c r="AA34" s="18"/>
    </row>
    <row r="37" spans="1:33">
      <c r="A37" s="203" t="s">
        <v>705</v>
      </c>
      <c r="U37" s="29"/>
    </row>
    <row r="38" spans="1:33">
      <c r="AD38" s="29" t="s">
        <v>85</v>
      </c>
    </row>
    <row r="39" spans="1:33">
      <c r="AC39" s="11" t="s">
        <v>9</v>
      </c>
      <c r="AD39" s="12" t="s">
        <v>10</v>
      </c>
      <c r="AE39" s="13" t="s">
        <v>11</v>
      </c>
      <c r="AF39" s="13" t="s">
        <v>12</v>
      </c>
      <c r="AG39" s="13" t="s">
        <v>13</v>
      </c>
    </row>
    <row r="40" spans="1:33">
      <c r="AC40" s="25" t="s">
        <v>21</v>
      </c>
      <c r="AD40" s="39">
        <f>SUM(AD15,AD3)</f>
        <v>32</v>
      </c>
      <c r="AE40" s="40">
        <f>SUM(AE15,AE3)</f>
        <v>29</v>
      </c>
      <c r="AF40" s="41">
        <f>SUM(AF15,AF3)</f>
        <v>1</v>
      </c>
      <c r="AG40" s="48">
        <f>SUM(AG15,AG3)</f>
        <v>0</v>
      </c>
    </row>
    <row r="41" spans="1:33">
      <c r="AC41" s="25" t="s">
        <v>33</v>
      </c>
      <c r="AD41" s="39">
        <f>SUM(AD16,AD4)</f>
        <v>30</v>
      </c>
      <c r="AE41" s="40">
        <f>SUM(AE16,AE4)</f>
        <v>22</v>
      </c>
      <c r="AF41" s="41">
        <f>SUM(AF16,AF4)</f>
        <v>4</v>
      </c>
      <c r="AG41" s="48">
        <f>SUM(AG16,AG4)</f>
        <v>2</v>
      </c>
    </row>
    <row r="42" spans="1:33">
      <c r="AC42" s="25" t="s">
        <v>36</v>
      </c>
      <c r="AD42" s="39">
        <f>SUM(AD17,AD5)</f>
        <v>77</v>
      </c>
      <c r="AE42" s="40">
        <f>SUM(AE17,AE5)</f>
        <v>42</v>
      </c>
      <c r="AF42" s="41">
        <f>SUM(AF17,AF5)</f>
        <v>22</v>
      </c>
      <c r="AG42" s="48">
        <f>SUM(AG17,AG5)</f>
        <v>0</v>
      </c>
    </row>
    <row r="43" spans="1:33">
      <c r="AC43" s="25" t="s">
        <v>39</v>
      </c>
      <c r="AD43" s="39">
        <f>SUM(AD18,AD6)</f>
        <v>5</v>
      </c>
      <c r="AE43" s="40">
        <f>SUM(AE18,AE6)</f>
        <v>3</v>
      </c>
      <c r="AF43" s="41">
        <f>SUM(AF18,AF6)</f>
        <v>2</v>
      </c>
      <c r="AG43" s="48">
        <f>SUM(AG18,AG6)</f>
        <v>0</v>
      </c>
    </row>
    <row r="44" spans="1:33">
      <c r="AC44" s="25" t="s">
        <v>41</v>
      </c>
      <c r="AD44" s="39">
        <f>SUM(AD19,AD7)</f>
        <v>0</v>
      </c>
      <c r="AE44" s="40">
        <f>SUM(AE19,AE7)</f>
        <v>0</v>
      </c>
      <c r="AF44" s="41">
        <f>SUM(AF19,AF7)</f>
        <v>0</v>
      </c>
      <c r="AG44" s="48">
        <f>SUM(AG19,AG7)</f>
        <v>0</v>
      </c>
    </row>
    <row r="45" spans="1:33">
      <c r="AD45">
        <f>SUM(AD40:AD44)</f>
        <v>144</v>
      </c>
    </row>
  </sheetData>
  <conditionalFormatting sqref="P3:AA10 P15:AA22 P27:AA34">
    <cfRule type="cellIs" dxfId="81" priority="1" operator="equal">
      <formula>"u"</formula>
    </cfRule>
  </conditionalFormatting>
  <conditionalFormatting sqref="P3:AA10 P15:AA22 P27:AA34">
    <cfRule type="cellIs" dxfId="80" priority="2" operator="equal">
      <formula>"N"</formula>
    </cfRule>
  </conditionalFormatting>
  <conditionalFormatting sqref="P3:AA10 P15:AA22 P27:AA34">
    <cfRule type="cellIs" dxfId="79" priority="3" operator="equal">
      <formula>"?"</formula>
    </cfRule>
  </conditionalFormatting>
  <conditionalFormatting sqref="P3:AA10 P15:AA22 P27:AA34">
    <cfRule type="cellIs" dxfId="78" priority="4" operator="equal">
      <formula>"X"</formula>
    </cfRule>
  </conditionalFormatting>
  <conditionalFormatting sqref="B3:M10 B15:M22 B27:M34">
    <cfRule type="endsWith" dxfId="77" priority="5" operator="endsWith" text="SEM">
      <formula>RIGHT((B3),LEN("SEM"))=("SEM")</formula>
    </cfRule>
  </conditionalFormatting>
  <conditionalFormatting sqref="P3:AA10 P15:AA22 P27:AA34">
    <cfRule type="cellIs" dxfId="76" priority="6" operator="equal">
      <formula>0</formula>
    </cfRule>
  </conditionalFormatting>
  <conditionalFormatting sqref="B3:M10 B15:M22 B27:M34">
    <cfRule type="endsWith" dxfId="75" priority="7" operator="endsWith" text="?">
      <formula>RIGHT((B3),LEN("?"))=("?")</formula>
    </cfRule>
  </conditionalFormatting>
  <conditionalFormatting sqref="B3:M10 P3:AA10 B15:M22 P15:AA22 B27:M34 P27:AA34">
    <cfRule type="notContainsBlanks" dxfId="74" priority="8">
      <formula>LEN(TRIM(B3))&gt;0</formula>
    </cfRule>
  </conditionalFormatting>
  <conditionalFormatting sqref="B3:M10 B15:M22 B27:M34">
    <cfRule type="containsBlanks" dxfId="73" priority="9">
      <formula>LEN(TRIM(B3))=0</formula>
    </cfRule>
  </conditionalFormatting>
  <conditionalFormatting sqref="P3 P15 P27">
    <cfRule type="notContainsBlanks" dxfId="72" priority="10">
      <formula>LEN(TRIM(P3))&gt;0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H999"/>
  <sheetViews>
    <sheetView workbookViewId="0">
      <selection activeCell="C34" sqref="C34"/>
    </sheetView>
  </sheetViews>
  <sheetFormatPr baseColWidth="10" defaultColWidth="11.1640625" defaultRowHeight="15" customHeight="1"/>
  <cols>
    <col min="1" max="13" width="6.33203125" customWidth="1"/>
    <col min="14" max="14" width="3.83203125" customWidth="1"/>
    <col min="15" max="27" width="6.83203125" customWidth="1"/>
  </cols>
  <sheetData>
    <row r="1" spans="1:34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76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/>
      <c r="C3" s="20"/>
      <c r="D3" s="21"/>
      <c r="E3" s="18"/>
      <c r="F3" s="18"/>
      <c r="G3" s="18" t="s">
        <v>77</v>
      </c>
      <c r="H3" s="18"/>
      <c r="I3" s="21"/>
      <c r="J3" s="22"/>
      <c r="K3" s="22"/>
      <c r="L3" s="22"/>
      <c r="M3" s="22"/>
      <c r="N3" s="6"/>
      <c r="O3" s="23" t="s">
        <v>14</v>
      </c>
      <c r="P3" s="18"/>
      <c r="Q3" s="24"/>
      <c r="R3" s="24"/>
      <c r="S3" s="24"/>
      <c r="T3" s="24"/>
      <c r="U3" s="18">
        <v>159</v>
      </c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0</v>
      </c>
      <c r="AE3" s="27">
        <f>COUNTIFS(P3:AA10,"&gt;0",P3:AA10,"&lt;51",B3:M10,"=i")</f>
        <v>0</v>
      </c>
      <c r="AF3" s="28">
        <f>COUNTIFS(P3:AA10,"&gt;0",P3:AA10,"&lt;51",B3:M10,"=s")</f>
        <v>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/>
      <c r="C4" s="18"/>
      <c r="D4" s="18"/>
      <c r="E4" s="18"/>
      <c r="F4" s="18" t="s">
        <v>17</v>
      </c>
      <c r="G4" s="24"/>
      <c r="H4" s="18"/>
      <c r="I4" s="21"/>
      <c r="J4" s="21"/>
      <c r="K4" s="22"/>
      <c r="L4" s="22"/>
      <c r="M4" s="22"/>
      <c r="N4" s="6"/>
      <c r="O4" s="23" t="s">
        <v>32</v>
      </c>
      <c r="P4" s="18"/>
      <c r="Q4" s="24"/>
      <c r="R4" s="24"/>
      <c r="S4" s="24"/>
      <c r="T4" s="18">
        <v>89</v>
      </c>
      <c r="U4" s="24"/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4</v>
      </c>
      <c r="AE4" s="27">
        <f>COUNTIFS(P4:AA11,"&gt;50",P4:AA11,"&lt;126",B4:M11,"=i")</f>
        <v>3</v>
      </c>
      <c r="AF4" s="28">
        <f>COUNTIFS(P4:AA11,"&gt;50",P4:AA11,"&lt;126",B4:M11,"=s")</f>
        <v>0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/>
      <c r="C5" s="18"/>
      <c r="D5" s="18"/>
      <c r="E5" s="18"/>
      <c r="F5" s="18" t="s">
        <v>35</v>
      </c>
      <c r="G5" s="18"/>
      <c r="H5" s="18"/>
      <c r="I5" s="21"/>
      <c r="J5" s="21"/>
      <c r="K5" s="22"/>
      <c r="L5" s="22"/>
      <c r="M5" s="22"/>
      <c r="N5" s="6"/>
      <c r="O5" s="23" t="s">
        <v>34</v>
      </c>
      <c r="P5" s="18"/>
      <c r="Q5" s="24"/>
      <c r="R5" s="24"/>
      <c r="S5" s="24"/>
      <c r="T5" s="18">
        <v>69</v>
      </c>
      <c r="U5" s="24"/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2</v>
      </c>
      <c r="AE5" s="27">
        <f>COUNTIFS(P5:AA11,"&gt;125",P5:AA11,"&lt;251",B5:M11,"=i")</f>
        <v>1</v>
      </c>
      <c r="AF5" s="28">
        <f>COUNTIFS(P5:AA11,"&gt;125",P5:AA11,"&lt;251",B5:M11,"=s")</f>
        <v>0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/>
      <c r="C6" s="18"/>
      <c r="D6" s="18"/>
      <c r="E6" s="18"/>
      <c r="F6" s="18" t="s">
        <v>35</v>
      </c>
      <c r="G6" s="18"/>
      <c r="H6" s="21"/>
      <c r="I6" s="21"/>
      <c r="J6" s="21"/>
      <c r="K6" s="22"/>
      <c r="L6" s="22"/>
      <c r="M6" s="22"/>
      <c r="N6" s="6"/>
      <c r="O6" s="23" t="s">
        <v>38</v>
      </c>
      <c r="P6" s="24"/>
      <c r="Q6" s="24"/>
      <c r="R6" s="24"/>
      <c r="S6" s="24"/>
      <c r="T6" s="18" t="s">
        <v>37</v>
      </c>
      <c r="U6" s="24"/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0</v>
      </c>
      <c r="AE6" s="27">
        <f>COUNTIFS(P6:AA12,"&gt;250",P6:AA12,"&lt;501",B6:M12,"=i")</f>
        <v>0</v>
      </c>
      <c r="AF6" s="28">
        <f>COUNTIFS(P6:AA12,"&gt;250",P6:AA12,"&lt;501",B6:M12,"=s")</f>
        <v>0</v>
      </c>
      <c r="AG6" s="30">
        <f>COUNTIFS(P6:AA12,"&gt;250",P6:AA12,"&lt;501",B6:M12,"=g")</f>
        <v>0</v>
      </c>
      <c r="AH6" s="10"/>
    </row>
    <row r="7" spans="1:34">
      <c r="A7" s="16" t="s">
        <v>40</v>
      </c>
      <c r="B7" s="18"/>
      <c r="C7" s="21"/>
      <c r="D7" s="18"/>
      <c r="E7" s="18"/>
      <c r="F7" s="18" t="s">
        <v>17</v>
      </c>
      <c r="G7" s="21"/>
      <c r="H7" s="21"/>
      <c r="I7" s="21"/>
      <c r="J7" s="21"/>
      <c r="K7" s="22"/>
      <c r="L7" s="22"/>
      <c r="M7" s="22"/>
      <c r="N7" s="6"/>
      <c r="O7" s="23" t="s">
        <v>40</v>
      </c>
      <c r="P7" s="24"/>
      <c r="Q7" s="24"/>
      <c r="R7" s="24"/>
      <c r="S7" s="24"/>
      <c r="T7" s="18">
        <v>86</v>
      </c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COUNTIFS(P7:AA13,"&gt;500",B7:M13,"=i")</f>
        <v>0</v>
      </c>
      <c r="AF7" s="28">
        <f>COUNTIFS(P7:AA13,"&gt;500",B7:M13,"=s")</f>
        <v>0</v>
      </c>
      <c r="AG7" s="30">
        <f>COUNTIFS(P7:AA13,"&gt;500",B7:M13,"=g")</f>
        <v>0</v>
      </c>
      <c r="AH7" s="10"/>
    </row>
    <row r="8" spans="1:34">
      <c r="A8" s="16" t="s">
        <v>42</v>
      </c>
      <c r="B8" s="18"/>
      <c r="C8" s="21"/>
      <c r="D8" s="18"/>
      <c r="E8" s="18"/>
      <c r="F8" s="18" t="s">
        <v>17</v>
      </c>
      <c r="G8" s="21"/>
      <c r="H8" s="21"/>
      <c r="I8" s="21"/>
      <c r="J8" s="21"/>
      <c r="K8" s="22"/>
      <c r="L8" s="22"/>
      <c r="M8" s="22"/>
      <c r="N8" s="6"/>
      <c r="O8" s="23" t="s">
        <v>42</v>
      </c>
      <c r="P8" s="24"/>
      <c r="Q8" s="24"/>
      <c r="R8" s="24"/>
      <c r="S8" s="24"/>
      <c r="T8" s="18">
        <v>199</v>
      </c>
      <c r="U8" s="24"/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/>
      <c r="C9" s="18"/>
      <c r="D9" s="18"/>
      <c r="E9" s="18"/>
      <c r="F9" s="18" t="s">
        <v>17</v>
      </c>
      <c r="G9" s="18"/>
      <c r="H9" s="21"/>
      <c r="I9" s="21"/>
      <c r="J9" s="21"/>
      <c r="K9" s="22"/>
      <c r="L9" s="22"/>
      <c r="M9" s="22"/>
      <c r="N9" s="6"/>
      <c r="O9" s="23" t="s">
        <v>43</v>
      </c>
      <c r="P9" s="24"/>
      <c r="Q9" s="24"/>
      <c r="R9" s="24"/>
      <c r="S9" s="24"/>
      <c r="T9" s="18">
        <v>93</v>
      </c>
      <c r="U9" s="24"/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/>
      <c r="C10" s="18"/>
      <c r="D10" s="18"/>
      <c r="E10" s="18"/>
      <c r="F10" s="18" t="s">
        <v>17</v>
      </c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24"/>
      <c r="Q10" s="24"/>
      <c r="R10" s="24"/>
      <c r="S10" s="24"/>
      <c r="T10" s="18" t="s">
        <v>37</v>
      </c>
      <c r="U10" s="24"/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9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2" t="s">
        <v>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 t="s">
        <v>84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>
      <c r="A14" s="4" t="s">
        <v>3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6"/>
      <c r="O14" s="7" t="s">
        <v>8</v>
      </c>
      <c r="P14" s="8">
        <v>1</v>
      </c>
      <c r="Q14" s="8">
        <v>2</v>
      </c>
      <c r="R14" s="8">
        <v>3</v>
      </c>
      <c r="S14" s="8">
        <v>4</v>
      </c>
      <c r="T14" s="8">
        <v>5</v>
      </c>
      <c r="U14" s="8">
        <v>6</v>
      </c>
      <c r="V14" s="8">
        <v>7</v>
      </c>
      <c r="W14" s="8">
        <v>8</v>
      </c>
      <c r="X14" s="8">
        <v>9</v>
      </c>
      <c r="Y14" s="8">
        <v>10</v>
      </c>
      <c r="Z14" s="8">
        <v>11</v>
      </c>
      <c r="AA14" s="8">
        <v>12</v>
      </c>
      <c r="AB14" s="10"/>
      <c r="AC14" s="11" t="s">
        <v>9</v>
      </c>
      <c r="AD14" s="12" t="s">
        <v>10</v>
      </c>
      <c r="AE14" s="13" t="s">
        <v>11</v>
      </c>
      <c r="AF14" s="13" t="s">
        <v>12</v>
      </c>
      <c r="AG14" s="13" t="s">
        <v>13</v>
      </c>
      <c r="AH14" s="14"/>
    </row>
    <row r="15" spans="1:34">
      <c r="A15" s="16" t="s">
        <v>14</v>
      </c>
      <c r="B15" s="18"/>
      <c r="C15" s="20"/>
      <c r="D15" s="21"/>
      <c r="E15" s="18"/>
      <c r="F15" s="18"/>
      <c r="G15" s="24"/>
      <c r="H15" s="18"/>
      <c r="I15" s="21"/>
      <c r="J15" s="22"/>
      <c r="K15" s="22"/>
      <c r="L15" s="21" t="s">
        <v>53</v>
      </c>
      <c r="M15" s="22"/>
      <c r="N15" s="6"/>
      <c r="O15" s="23" t="s">
        <v>14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18">
        <v>185</v>
      </c>
      <c r="AA15" s="24"/>
      <c r="AB15" s="10"/>
      <c r="AC15" s="25" t="s">
        <v>21</v>
      </c>
      <c r="AD15" s="26">
        <f>COUNTIFS(P15:AA22,"&gt;0",P15:AA22,"&lt;51")</f>
        <v>1</v>
      </c>
      <c r="AE15" s="27">
        <f>COUNTIFS(P15:AA22,"&gt;0",P15:AA22,"&lt;51",B15:M22,"=i")</f>
        <v>0</v>
      </c>
      <c r="AF15" s="28">
        <f>COUNTIFS(P15:AA22,"&gt;0",P15:AA22,"&lt;51",B15:M22,"=s")</f>
        <v>1</v>
      </c>
      <c r="AG15" s="30">
        <f>COUNTIFS(P15:AA22,"&gt;0",P15:AA22,"&lt;51",B15:M22,"=g")</f>
        <v>0</v>
      </c>
      <c r="AH15" s="10"/>
    </row>
    <row r="16" spans="1:34">
      <c r="A16" s="16" t="s">
        <v>32</v>
      </c>
      <c r="B16" s="18"/>
      <c r="C16" s="18"/>
      <c r="D16" s="18"/>
      <c r="E16" s="18"/>
      <c r="F16" s="18"/>
      <c r="G16" s="24"/>
      <c r="H16" s="18"/>
      <c r="I16" s="21"/>
      <c r="J16" s="21"/>
      <c r="K16" s="22"/>
      <c r="L16" s="21" t="s">
        <v>18</v>
      </c>
      <c r="M16" s="22"/>
      <c r="N16" s="6"/>
      <c r="O16" s="23" t="s">
        <v>32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18" t="s">
        <v>37</v>
      </c>
      <c r="AA16" s="24"/>
      <c r="AB16" s="10"/>
      <c r="AC16" s="25" t="s">
        <v>33</v>
      </c>
      <c r="AD16" s="31">
        <f>COUNTIFS(P15:AA22,"&gt;50",P15:AA22,"&lt;126")</f>
        <v>2</v>
      </c>
      <c r="AE16" s="27">
        <f>COUNTIFS(P16:AA23,"&gt;50",P16:AA23,"&lt;126",B16:M23,"=i")</f>
        <v>2</v>
      </c>
      <c r="AF16" s="28">
        <f>COUNTIFS(P16:AA23,"&gt;50",P16:AA23,"&lt;126",B16:M23,"=s")</f>
        <v>0</v>
      </c>
      <c r="AG16" s="30">
        <f>COUNTIFS(P16:AA23,"&gt;50",P16:AA23,"&lt;126",B16:M23,"=g")</f>
        <v>0</v>
      </c>
      <c r="AH16" s="10"/>
    </row>
    <row r="17" spans="1:34">
      <c r="A17" s="16" t="s">
        <v>34</v>
      </c>
      <c r="B17" s="18"/>
      <c r="C17" s="18"/>
      <c r="D17" s="18"/>
      <c r="E17" s="18"/>
      <c r="F17" s="18"/>
      <c r="G17" s="18"/>
      <c r="H17" s="18"/>
      <c r="I17" s="21"/>
      <c r="J17" s="21"/>
      <c r="K17" s="22"/>
      <c r="L17" s="21" t="s">
        <v>17</v>
      </c>
      <c r="M17" s="22"/>
      <c r="N17" s="6"/>
      <c r="O17" s="23" t="s">
        <v>34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18">
        <v>145</v>
      </c>
      <c r="AA17" s="24"/>
      <c r="AB17" s="10"/>
      <c r="AC17" s="25" t="s">
        <v>36</v>
      </c>
      <c r="AD17" s="31">
        <f>COUNTIFS(P15:AA22,"&gt;125",P15:AA22,"&lt;251")</f>
        <v>2</v>
      </c>
      <c r="AE17" s="27">
        <f>COUNTIFS(P17:AA24,"&gt;125",P17:AA24,"&lt;251",B17:M24,"=i")</f>
        <v>1</v>
      </c>
      <c r="AF17" s="28">
        <f>COUNTIFS(P17:AA24,"&gt;125",P17:AA24,"&lt;251",B17:M24,"=s")</f>
        <v>0</v>
      </c>
      <c r="AG17" s="30">
        <f>COUNTIFS(P17:AA24,"&gt;125",P17:AA24,"&lt;251",B17:M24,"=g")</f>
        <v>0</v>
      </c>
      <c r="AH17" s="10"/>
    </row>
    <row r="18" spans="1:34">
      <c r="A18" s="16" t="s">
        <v>38</v>
      </c>
      <c r="B18" s="18"/>
      <c r="C18" s="18"/>
      <c r="D18" s="18"/>
      <c r="E18" s="18"/>
      <c r="F18" s="18"/>
      <c r="G18" s="18"/>
      <c r="H18" s="21"/>
      <c r="I18" s="21"/>
      <c r="J18" s="21"/>
      <c r="K18" s="22"/>
      <c r="L18" s="21" t="s">
        <v>18</v>
      </c>
      <c r="M18" s="22"/>
      <c r="N18" s="6"/>
      <c r="O18" s="23" t="s">
        <v>38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18">
        <v>50</v>
      </c>
      <c r="AA18" s="24"/>
      <c r="AB18" s="10"/>
      <c r="AC18" s="25" t="s">
        <v>39</v>
      </c>
      <c r="AD18" s="31">
        <f>COUNTIFS(P15:AA22,"&gt;250",P15:AA22,"&lt;501")</f>
        <v>1</v>
      </c>
      <c r="AE18" s="27">
        <f>COUNTIFS(P18:AA25,"&gt;250",P18:AA25,"&lt;501",B18:M25,"=i")</f>
        <v>0</v>
      </c>
      <c r="AF18" s="28">
        <f>COUNTIFS(P18:AA25,"&gt;250",P18:AA25,"&lt;501",B18:M25,"=s")</f>
        <v>1</v>
      </c>
      <c r="AG18" s="30">
        <f>COUNTIFS(P18:AA25,"&gt;250",P18:AA25,"&lt;501",B18:M25,"=g")</f>
        <v>0</v>
      </c>
      <c r="AH18" s="10"/>
    </row>
    <row r="19" spans="1:34">
      <c r="A19" s="16" t="s">
        <v>40</v>
      </c>
      <c r="B19" s="18"/>
      <c r="C19" s="21"/>
      <c r="D19" s="18"/>
      <c r="E19" s="18"/>
      <c r="F19" s="18"/>
      <c r="G19" s="21"/>
      <c r="H19" s="21"/>
      <c r="I19" s="21"/>
      <c r="J19" s="21"/>
      <c r="K19" s="22"/>
      <c r="L19" s="21" t="s">
        <v>17</v>
      </c>
      <c r="M19" s="22"/>
      <c r="N19" s="6"/>
      <c r="O19" s="23" t="s">
        <v>40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18">
        <v>96</v>
      </c>
      <c r="AA19" s="24"/>
      <c r="AB19" s="10"/>
      <c r="AC19" s="25" t="s">
        <v>41</v>
      </c>
      <c r="AD19" s="31">
        <f>COUNTIF(P15:AA22,"&gt;500")</f>
        <v>0</v>
      </c>
      <c r="AE19" s="27">
        <f>COUNTIFS(P19:AA26,"&gt;500",B19:M26,"=i")</f>
        <v>0</v>
      </c>
      <c r="AF19" s="28">
        <f>COUNTIFS(P19:AA26,"&gt;500",B19:M26,"=s")</f>
        <v>0</v>
      </c>
      <c r="AG19" s="30">
        <f>COUNTIFS(P19:AA26,"&gt;500",B19:M26,"=g")</f>
        <v>0</v>
      </c>
      <c r="AH19" s="10"/>
    </row>
    <row r="20" spans="1:34">
      <c r="A20" s="16" t="s">
        <v>42</v>
      </c>
      <c r="B20" s="18"/>
      <c r="C20" s="21"/>
      <c r="D20" s="18"/>
      <c r="E20" s="18"/>
      <c r="F20" s="18"/>
      <c r="G20" s="21"/>
      <c r="H20" s="21"/>
      <c r="I20" s="21"/>
      <c r="J20" s="21"/>
      <c r="K20" s="22"/>
      <c r="L20" s="21" t="s">
        <v>17</v>
      </c>
      <c r="M20" s="22"/>
      <c r="N20" s="6"/>
      <c r="O20" s="23" t="s">
        <v>42</v>
      </c>
      <c r="P20" s="24"/>
      <c r="Q20" s="24"/>
      <c r="R20" s="24"/>
      <c r="S20" s="24"/>
      <c r="T20" s="18"/>
      <c r="U20" s="24"/>
      <c r="V20" s="24"/>
      <c r="W20" s="24"/>
      <c r="X20" s="24"/>
      <c r="Y20" s="24"/>
      <c r="Z20" s="18">
        <v>78</v>
      </c>
      <c r="AA20" s="24"/>
      <c r="AB20" s="10"/>
      <c r="AC20" s="10"/>
      <c r="AD20" s="10"/>
      <c r="AE20" s="10"/>
      <c r="AF20" s="10"/>
      <c r="AG20" s="10"/>
      <c r="AH20" s="10"/>
    </row>
    <row r="21" spans="1:34">
      <c r="A21" s="16" t="s">
        <v>43</v>
      </c>
      <c r="B21" s="18"/>
      <c r="C21" s="18"/>
      <c r="D21" s="18"/>
      <c r="E21" s="18"/>
      <c r="F21" s="18"/>
      <c r="G21" s="18"/>
      <c r="H21" s="21"/>
      <c r="I21" s="21"/>
      <c r="J21" s="21"/>
      <c r="K21" s="22"/>
      <c r="L21" s="22"/>
      <c r="M21" s="22"/>
      <c r="N21" s="6"/>
      <c r="O21" s="23" t="s">
        <v>43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0"/>
      <c r="AC21" s="10"/>
      <c r="AD21" s="10"/>
      <c r="AE21" s="10"/>
      <c r="AF21" s="10"/>
      <c r="AG21" s="10"/>
      <c r="AH21" s="10"/>
    </row>
    <row r="22" spans="1:34">
      <c r="A22" s="16" t="s">
        <v>47</v>
      </c>
      <c r="B22" s="18"/>
      <c r="C22" s="18"/>
      <c r="D22" s="18"/>
      <c r="E22" s="18"/>
      <c r="F22" s="18"/>
      <c r="G22" s="18"/>
      <c r="H22" s="21"/>
      <c r="I22" s="21"/>
      <c r="J22" s="22"/>
      <c r="K22" s="22"/>
      <c r="L22" s="24"/>
      <c r="M22" s="18" t="s">
        <v>18</v>
      </c>
      <c r="N22" s="6"/>
      <c r="O22" s="23" t="s">
        <v>47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18">
        <v>382</v>
      </c>
      <c r="AB22" s="10"/>
      <c r="AC22" s="10"/>
      <c r="AD22" s="10"/>
      <c r="AE22" s="10"/>
      <c r="AF22" s="10"/>
      <c r="AG22" s="10"/>
      <c r="AH22" s="10"/>
    </row>
    <row r="23" spans="1:3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"/>
      <c r="AA23" s="2"/>
      <c r="AB23" s="3"/>
      <c r="AC23" s="3"/>
      <c r="AD23" s="3"/>
      <c r="AE23" s="3"/>
      <c r="AF23" s="3"/>
      <c r="AG23" s="3"/>
      <c r="AH23" s="3"/>
    </row>
    <row r="24" spans="1:3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203" t="s">
        <v>705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9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</sheetData>
  <conditionalFormatting sqref="B3:M10 B15:M22">
    <cfRule type="endsWith" dxfId="71" priority="1" operator="endsWith" text="SEM">
      <formula>RIGHT((B3),LEN("SEM"))=("SEM")</formula>
    </cfRule>
  </conditionalFormatting>
  <conditionalFormatting sqref="P3:AA10 P15:AA22">
    <cfRule type="cellIs" dxfId="70" priority="2" operator="equal">
      <formula>"u"</formula>
    </cfRule>
  </conditionalFormatting>
  <conditionalFormatting sqref="P3:AA10 P15:AA22">
    <cfRule type="cellIs" dxfId="69" priority="3" operator="equal">
      <formula>"N"</formula>
    </cfRule>
  </conditionalFormatting>
  <conditionalFormatting sqref="P3:AA10 P15:AA22">
    <cfRule type="cellIs" dxfId="68" priority="4" operator="equal">
      <formula>"?"</formula>
    </cfRule>
  </conditionalFormatting>
  <conditionalFormatting sqref="P3:AA10 P15:AA22">
    <cfRule type="cellIs" dxfId="67" priority="5" operator="equal">
      <formula>"X"</formula>
    </cfRule>
  </conditionalFormatting>
  <conditionalFormatting sqref="P3:AA10 P15:AA22">
    <cfRule type="cellIs" dxfId="66" priority="6" operator="equal">
      <formula>0</formula>
    </cfRule>
  </conditionalFormatting>
  <conditionalFormatting sqref="B3:M10 B15:M22">
    <cfRule type="endsWith" dxfId="65" priority="7" operator="endsWith" text="?">
      <formula>RIGHT((B3),LEN("?"))=("?")</formula>
    </cfRule>
  </conditionalFormatting>
  <conditionalFormatting sqref="B3:M10 P3:AA10 B15:M22 P15:AA22">
    <cfRule type="notContainsBlanks" dxfId="64" priority="8">
      <formula>LEN(TRIM(B3))&gt;0</formula>
    </cfRule>
  </conditionalFormatting>
  <conditionalFormatting sqref="B3:M10 B15:M22">
    <cfRule type="containsBlanks" dxfId="63" priority="9">
      <formula>LEN(TRIM(B3))=0</formula>
    </cfRule>
  </conditionalFormatting>
  <conditionalFormatting sqref="P3 P15">
    <cfRule type="notContainsBlanks" dxfId="62" priority="10">
      <formula>LEN(TRIM(P3))&gt;0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H999"/>
  <sheetViews>
    <sheetView workbookViewId="0">
      <selection activeCell="AB31" sqref="AB31"/>
    </sheetView>
  </sheetViews>
  <sheetFormatPr baseColWidth="10" defaultColWidth="11.1640625" defaultRowHeight="15" customHeight="1"/>
  <cols>
    <col min="1" max="13" width="6.33203125" customWidth="1"/>
    <col min="14" max="14" width="3.83203125" customWidth="1"/>
    <col min="15" max="27" width="6.83203125" customWidth="1"/>
  </cols>
  <sheetData>
    <row r="1" spans="1:34">
      <c r="A1" s="2" t="s">
        <v>1</v>
      </c>
      <c r="B1" s="2">
        <v>6.1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76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18</v>
      </c>
      <c r="C3" s="20" t="s">
        <v>17</v>
      </c>
      <c r="D3" s="21" t="s">
        <v>17</v>
      </c>
      <c r="E3" s="18" t="s">
        <v>17</v>
      </c>
      <c r="F3" s="18" t="s">
        <v>18</v>
      </c>
      <c r="G3" s="18"/>
      <c r="H3" s="18"/>
      <c r="I3" s="21"/>
      <c r="J3" s="22"/>
      <c r="K3" s="22"/>
      <c r="L3" s="22"/>
      <c r="M3" s="22"/>
      <c r="N3" s="6"/>
      <c r="O3" s="23" t="s">
        <v>14</v>
      </c>
      <c r="P3" s="18">
        <v>293</v>
      </c>
      <c r="Q3" s="18">
        <v>57</v>
      </c>
      <c r="R3" s="18">
        <v>51</v>
      </c>
      <c r="S3" s="18">
        <v>298</v>
      </c>
      <c r="T3" s="24"/>
      <c r="U3" s="24"/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4</v>
      </c>
      <c r="AE3" s="27">
        <f>COUNTIFS(P3:AA10,"&gt;0",P3:AA10,"&lt;51",B3:M10,"=i")</f>
        <v>3</v>
      </c>
      <c r="AF3" s="28">
        <f>COUNTIFS(P3:AA10,"&gt;0",P3:AA10,"&lt;51",B3:M10,"=s")</f>
        <v>1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18</v>
      </c>
      <c r="C4" s="18" t="s">
        <v>17</v>
      </c>
      <c r="D4" s="18" t="s">
        <v>17</v>
      </c>
      <c r="E4" s="18" t="s">
        <v>17</v>
      </c>
      <c r="F4" s="18"/>
      <c r="G4" s="24"/>
      <c r="H4" s="18"/>
      <c r="I4" s="21"/>
      <c r="J4" s="21"/>
      <c r="K4" s="22"/>
      <c r="L4" s="22"/>
      <c r="M4" s="22"/>
      <c r="N4" s="6"/>
      <c r="O4" s="23" t="s">
        <v>32</v>
      </c>
      <c r="P4" s="18">
        <v>45</v>
      </c>
      <c r="Q4" s="18">
        <v>38</v>
      </c>
      <c r="R4" s="18">
        <v>64.3</v>
      </c>
      <c r="S4" s="18">
        <v>135</v>
      </c>
      <c r="T4" s="24"/>
      <c r="U4" s="24"/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12</v>
      </c>
      <c r="AE4" s="27">
        <f>COUNTIFS(P4:AA11,"&gt;50",P4:AA11,"&lt;126",B4:M11,"=i")</f>
        <v>8</v>
      </c>
      <c r="AF4" s="28">
        <f>COUNTIFS(P4:AA11,"&gt;50",P4:AA11,"&lt;126",B4:M11,"=s")</f>
        <v>2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18</v>
      </c>
      <c r="C5" s="18" t="s">
        <v>17</v>
      </c>
      <c r="D5" s="18" t="s">
        <v>18</v>
      </c>
      <c r="E5" s="18" t="s">
        <v>17</v>
      </c>
      <c r="F5" s="18"/>
      <c r="G5" s="18"/>
      <c r="H5" s="18"/>
      <c r="I5" s="21"/>
      <c r="J5" s="21"/>
      <c r="K5" s="22"/>
      <c r="L5" s="22"/>
      <c r="M5" s="22"/>
      <c r="N5" s="6"/>
      <c r="O5" s="23" t="s">
        <v>34</v>
      </c>
      <c r="P5" s="18">
        <v>63</v>
      </c>
      <c r="Q5" s="18">
        <v>53.6</v>
      </c>
      <c r="R5" s="18">
        <v>283</v>
      </c>
      <c r="S5" s="18">
        <v>162</v>
      </c>
      <c r="T5" s="24"/>
      <c r="U5" s="24"/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2</v>
      </c>
      <c r="AE5" s="27">
        <f>COUNTIFS(P5:AA11,"&gt;125",P5:AA11,"&lt;251",B5:M11,"=i")</f>
        <v>1</v>
      </c>
      <c r="AF5" s="28">
        <f>COUNTIFS(P5:AA11,"&gt;125",P5:AA11,"&lt;251",B5:M11,"=s")</f>
        <v>0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 t="s">
        <v>17</v>
      </c>
      <c r="C6" s="18" t="s">
        <v>17</v>
      </c>
      <c r="D6" s="18" t="s">
        <v>18</v>
      </c>
      <c r="E6" s="18" t="s">
        <v>18</v>
      </c>
      <c r="F6" s="18"/>
      <c r="G6" s="18"/>
      <c r="H6" s="21"/>
      <c r="I6" s="21"/>
      <c r="J6" s="21"/>
      <c r="K6" s="22"/>
      <c r="L6" s="22"/>
      <c r="M6" s="22"/>
      <c r="N6" s="6"/>
      <c r="O6" s="23" t="s">
        <v>38</v>
      </c>
      <c r="P6" s="18" t="s">
        <v>69</v>
      </c>
      <c r="Q6" s="18">
        <v>91</v>
      </c>
      <c r="R6" s="18">
        <v>310</v>
      </c>
      <c r="S6" s="18">
        <v>76</v>
      </c>
      <c r="T6" s="24"/>
      <c r="U6" s="24"/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12</v>
      </c>
      <c r="AE6" s="27">
        <f>COUNTIFS(P6:AA12,"&gt;250",P6:AA12,"&lt;501",B6:M12,"=i")</f>
        <v>1</v>
      </c>
      <c r="AF6" s="28">
        <f>COUNTIFS(P6:AA12,"&gt;250",P6:AA12,"&lt;501",B6:M12,"=s")</f>
        <v>8</v>
      </c>
      <c r="AG6" s="30">
        <f>COUNTIFS(P6:AA12,"&gt;250",P6:AA12,"&lt;501",B6:M12,"=g")</f>
        <v>0</v>
      </c>
      <c r="AH6" s="10"/>
    </row>
    <row r="7" spans="1:34">
      <c r="A7" s="16" t="s">
        <v>40</v>
      </c>
      <c r="B7" s="18" t="s">
        <v>17</v>
      </c>
      <c r="C7" s="21" t="s">
        <v>17</v>
      </c>
      <c r="D7" s="18" t="s">
        <v>18</v>
      </c>
      <c r="E7" s="18" t="s">
        <v>18</v>
      </c>
      <c r="F7" s="18"/>
      <c r="G7" s="21"/>
      <c r="H7" s="21"/>
      <c r="I7" s="21"/>
      <c r="J7" s="21"/>
      <c r="K7" s="22"/>
      <c r="L7" s="22"/>
      <c r="M7" s="22"/>
      <c r="N7" s="6"/>
      <c r="O7" s="23" t="s">
        <v>40</v>
      </c>
      <c r="P7" s="18">
        <v>55</v>
      </c>
      <c r="Q7" s="18">
        <v>59</v>
      </c>
      <c r="R7" s="18">
        <v>293</v>
      </c>
      <c r="S7" s="18">
        <v>306</v>
      </c>
      <c r="T7" s="24"/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COUNTIFS(P7:AA13,"&gt;500",B7:M13,"=i")</f>
        <v>0</v>
      </c>
      <c r="AF7" s="28">
        <f>COUNTIFS(P7:AA13,"&gt;500",B7:M13,"=s")</f>
        <v>0</v>
      </c>
      <c r="AG7" s="30">
        <f>COUNTIFS(P7:AA13,"&gt;500",B7:M13,"=g")</f>
        <v>0</v>
      </c>
      <c r="AH7" s="10"/>
    </row>
    <row r="8" spans="1:34">
      <c r="A8" s="16" t="s">
        <v>42</v>
      </c>
      <c r="B8" s="18" t="s">
        <v>17</v>
      </c>
      <c r="C8" s="21" t="s">
        <v>17</v>
      </c>
      <c r="D8" s="18" t="s">
        <v>17</v>
      </c>
      <c r="E8" s="18" t="s">
        <v>18</v>
      </c>
      <c r="F8" s="18"/>
      <c r="G8" s="21"/>
      <c r="H8" s="21"/>
      <c r="I8" s="21"/>
      <c r="J8" s="21"/>
      <c r="K8" s="22"/>
      <c r="L8" s="22"/>
      <c r="M8" s="22"/>
      <c r="N8" s="6"/>
      <c r="O8" s="23" t="s">
        <v>42</v>
      </c>
      <c r="P8" s="18">
        <v>74</v>
      </c>
      <c r="Q8" s="18">
        <v>44</v>
      </c>
      <c r="R8" s="18">
        <v>265</v>
      </c>
      <c r="S8" s="18">
        <v>449</v>
      </c>
      <c r="T8" s="24"/>
      <c r="U8" s="24"/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17</v>
      </c>
      <c r="C9" s="18" t="s">
        <v>17</v>
      </c>
      <c r="D9" s="18" t="s">
        <v>18</v>
      </c>
      <c r="E9" s="18" t="s">
        <v>18</v>
      </c>
      <c r="F9" s="18"/>
      <c r="G9" s="18"/>
      <c r="H9" s="21"/>
      <c r="I9" s="21"/>
      <c r="J9" s="21"/>
      <c r="K9" s="22"/>
      <c r="L9" s="22"/>
      <c r="M9" s="22"/>
      <c r="N9" s="6"/>
      <c r="O9" s="23" t="s">
        <v>43</v>
      </c>
      <c r="P9" s="18">
        <v>97</v>
      </c>
      <c r="Q9" s="18">
        <v>47</v>
      </c>
      <c r="R9" s="18">
        <v>317</v>
      </c>
      <c r="S9" s="18">
        <v>293</v>
      </c>
      <c r="T9" s="24"/>
      <c r="U9" s="24"/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 t="s">
        <v>17</v>
      </c>
      <c r="C10" s="18" t="s">
        <v>17</v>
      </c>
      <c r="D10" s="18" t="s">
        <v>18</v>
      </c>
      <c r="E10" s="18" t="s">
        <v>18</v>
      </c>
      <c r="F10" s="18"/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18">
        <v>58</v>
      </c>
      <c r="Q10" s="18" t="s">
        <v>69</v>
      </c>
      <c r="R10" s="18">
        <v>321</v>
      </c>
      <c r="S10" s="18">
        <v>353</v>
      </c>
      <c r="T10" s="24"/>
      <c r="U10" s="24"/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2" t="s">
        <v>83</v>
      </c>
      <c r="B13" s="2">
        <v>6.2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 t="s">
        <v>84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>
      <c r="A14" s="4" t="s">
        <v>3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6"/>
      <c r="O14" s="7" t="s">
        <v>8</v>
      </c>
      <c r="P14" s="8">
        <v>1</v>
      </c>
      <c r="Q14" s="8">
        <v>2</v>
      </c>
      <c r="R14" s="8">
        <v>3</v>
      </c>
      <c r="S14" s="8">
        <v>4</v>
      </c>
      <c r="T14" s="8">
        <v>5</v>
      </c>
      <c r="U14" s="8">
        <v>6</v>
      </c>
      <c r="V14" s="8">
        <v>7</v>
      </c>
      <c r="W14" s="8">
        <v>8</v>
      </c>
      <c r="X14" s="8">
        <v>9</v>
      </c>
      <c r="Y14" s="8">
        <v>10</v>
      </c>
      <c r="Z14" s="8">
        <v>11</v>
      </c>
      <c r="AA14" s="8">
        <v>12</v>
      </c>
      <c r="AB14" s="10"/>
      <c r="AC14" s="11" t="s">
        <v>9</v>
      </c>
      <c r="AD14" s="12" t="s">
        <v>10</v>
      </c>
      <c r="AE14" s="13" t="s">
        <v>11</v>
      </c>
      <c r="AF14" s="13" t="s">
        <v>12</v>
      </c>
      <c r="AG14" s="13" t="s">
        <v>13</v>
      </c>
      <c r="AH14" s="14"/>
    </row>
    <row r="15" spans="1:34">
      <c r="A15" s="16" t="s">
        <v>14</v>
      </c>
      <c r="B15" s="18" t="s">
        <v>53</v>
      </c>
      <c r="C15" s="20" t="s">
        <v>17</v>
      </c>
      <c r="D15" s="21" t="s">
        <v>18</v>
      </c>
      <c r="E15" s="18" t="s">
        <v>17</v>
      </c>
      <c r="F15" s="18" t="s">
        <v>53</v>
      </c>
      <c r="G15" s="18" t="s">
        <v>18</v>
      </c>
      <c r="H15" s="18" t="s">
        <v>17</v>
      </c>
      <c r="I15" s="21" t="s">
        <v>17</v>
      </c>
      <c r="J15" s="21" t="s">
        <v>18</v>
      </c>
      <c r="K15" s="21" t="s">
        <v>17</v>
      </c>
      <c r="L15" s="21"/>
      <c r="M15" s="22"/>
      <c r="N15" s="6"/>
      <c r="O15" s="23" t="s">
        <v>14</v>
      </c>
      <c r="P15" s="18">
        <v>175</v>
      </c>
      <c r="Q15" s="18">
        <v>57</v>
      </c>
      <c r="R15" s="18" t="s">
        <v>37</v>
      </c>
      <c r="S15" s="18">
        <v>45</v>
      </c>
      <c r="T15" s="18">
        <v>123</v>
      </c>
      <c r="U15" s="18">
        <v>48</v>
      </c>
      <c r="V15" s="18">
        <v>160</v>
      </c>
      <c r="W15" s="18">
        <v>52</v>
      </c>
      <c r="X15" s="18" t="s">
        <v>37</v>
      </c>
      <c r="Y15" s="18" t="s">
        <v>37</v>
      </c>
      <c r="Z15" s="24"/>
      <c r="AA15" s="24"/>
      <c r="AB15" s="10"/>
      <c r="AC15" s="25" t="s">
        <v>21</v>
      </c>
      <c r="AD15" s="26">
        <f>COUNTIFS(P15:AA22,"&gt;0",P15:AA22,"&lt;51")</f>
        <v>20</v>
      </c>
      <c r="AE15" s="27">
        <f>COUNTIFS(P15:AA22,"&gt;0",P15:AA22,"&lt;51",B15:M22,"=i")</f>
        <v>12</v>
      </c>
      <c r="AF15" s="28">
        <f>COUNTIFS(P15:AA22,"&gt;0",P15:AA22,"&lt;51",B15:M22,"=s")</f>
        <v>6</v>
      </c>
      <c r="AG15" s="30">
        <f>COUNTIFS(P15:AA22,"&gt;0",P15:AA22,"&lt;51",B15:M22,"=g")</f>
        <v>0</v>
      </c>
      <c r="AH15" s="10"/>
    </row>
    <row r="16" spans="1:34">
      <c r="A16" s="16" t="s">
        <v>32</v>
      </c>
      <c r="B16" s="18" t="s">
        <v>53</v>
      </c>
      <c r="C16" s="18" t="s">
        <v>17</v>
      </c>
      <c r="D16" s="18" t="s">
        <v>17</v>
      </c>
      <c r="E16" s="18" t="s">
        <v>18</v>
      </c>
      <c r="F16" s="18" t="s">
        <v>18</v>
      </c>
      <c r="G16" s="18" t="s">
        <v>18</v>
      </c>
      <c r="H16" s="18" t="s">
        <v>17</v>
      </c>
      <c r="I16" s="21" t="s">
        <v>17</v>
      </c>
      <c r="J16" s="21" t="s">
        <v>18</v>
      </c>
      <c r="K16" s="21" t="s">
        <v>18</v>
      </c>
      <c r="L16" s="21"/>
      <c r="M16" s="22"/>
      <c r="N16" s="6"/>
      <c r="O16" s="23" t="s">
        <v>32</v>
      </c>
      <c r="P16" s="18" t="s">
        <v>37</v>
      </c>
      <c r="Q16" s="18">
        <v>37</v>
      </c>
      <c r="R16" s="18">
        <v>43</v>
      </c>
      <c r="S16" s="18">
        <v>56</v>
      </c>
      <c r="T16" s="18">
        <v>50</v>
      </c>
      <c r="U16" s="18">
        <v>48</v>
      </c>
      <c r="V16" s="18">
        <v>37</v>
      </c>
      <c r="W16" s="18" t="s">
        <v>37</v>
      </c>
      <c r="X16" s="18">
        <v>151</v>
      </c>
      <c r="Y16" s="18" t="s">
        <v>37</v>
      </c>
      <c r="Z16" s="24"/>
      <c r="AA16" s="24"/>
      <c r="AB16" s="10"/>
      <c r="AC16" s="25" t="s">
        <v>33</v>
      </c>
      <c r="AD16" s="31">
        <f>COUNTIFS(P15:AA22,"&gt;50",P15:AA22,"&lt;126")</f>
        <v>33</v>
      </c>
      <c r="AE16" s="27">
        <f>COUNTIFS(P16:AA23,"&gt;50",P16:AA23,"&lt;126",B16:M23,"=i")</f>
        <v>12</v>
      </c>
      <c r="AF16" s="28">
        <f>COUNTIFS(P16:AA23,"&gt;50",P16:AA23,"&lt;126",B16:M23,"=s")</f>
        <v>14</v>
      </c>
      <c r="AG16" s="30">
        <f>COUNTIFS(P16:AA23,"&gt;50",P16:AA23,"&lt;126",B16:M23,"=g")</f>
        <v>2</v>
      </c>
      <c r="AH16" s="10"/>
    </row>
    <row r="17" spans="1:34">
      <c r="A17" s="16" t="s">
        <v>34</v>
      </c>
      <c r="B17" s="18" t="s">
        <v>53</v>
      </c>
      <c r="C17" s="18" t="s">
        <v>17</v>
      </c>
      <c r="D17" s="18" t="s">
        <v>17</v>
      </c>
      <c r="E17" s="18" t="s">
        <v>56</v>
      </c>
      <c r="F17" s="18" t="s">
        <v>18</v>
      </c>
      <c r="G17" s="18" t="s">
        <v>53</v>
      </c>
      <c r="H17" s="18" t="s">
        <v>17</v>
      </c>
      <c r="I17" s="21" t="s">
        <v>17</v>
      </c>
      <c r="J17" s="21" t="s">
        <v>18</v>
      </c>
      <c r="K17" s="21" t="s">
        <v>18</v>
      </c>
      <c r="L17" s="21"/>
      <c r="M17" s="21" t="s">
        <v>94</v>
      </c>
      <c r="N17" s="6"/>
      <c r="O17" s="23" t="s">
        <v>34</v>
      </c>
      <c r="P17" s="18">
        <v>210</v>
      </c>
      <c r="Q17" s="18">
        <v>57</v>
      </c>
      <c r="R17" s="18">
        <v>112</v>
      </c>
      <c r="S17" s="18">
        <v>64</v>
      </c>
      <c r="T17" s="18">
        <v>54</v>
      </c>
      <c r="U17" s="18">
        <v>63</v>
      </c>
      <c r="V17" s="18">
        <v>54</v>
      </c>
      <c r="W17" s="18">
        <v>36</v>
      </c>
      <c r="X17" s="18">
        <v>103</v>
      </c>
      <c r="Y17" s="18">
        <v>120</v>
      </c>
      <c r="Z17" s="24"/>
      <c r="AA17" s="18">
        <v>42</v>
      </c>
      <c r="AB17" s="10"/>
      <c r="AC17" s="25" t="s">
        <v>36</v>
      </c>
      <c r="AD17" s="31">
        <f>COUNTIFS(P15:AA22,"&gt;125",P15:AA22,"&lt;251")</f>
        <v>8</v>
      </c>
      <c r="AE17" s="27">
        <f>COUNTIFS(P17:AA24,"&gt;125",P17:AA24,"&lt;251",B17:M24,"=i")</f>
        <v>1</v>
      </c>
      <c r="AF17" s="28">
        <f>COUNTIFS(P17:AA24,"&gt;125",P17:AA24,"&lt;251",B17:M24,"=s")</f>
        <v>1</v>
      </c>
      <c r="AG17" s="30">
        <f>COUNTIFS(P17:AA24,"&gt;125",P17:AA24,"&lt;251",B17:M24,"=g")</f>
        <v>3</v>
      </c>
      <c r="AH17" s="10"/>
    </row>
    <row r="18" spans="1:34">
      <c r="A18" s="16" t="s">
        <v>38</v>
      </c>
      <c r="B18" s="18" t="s">
        <v>53</v>
      </c>
      <c r="C18" s="18" t="s">
        <v>17</v>
      </c>
      <c r="D18" s="18" t="s">
        <v>17</v>
      </c>
      <c r="E18" s="18" t="s">
        <v>17</v>
      </c>
      <c r="F18" s="18" t="s">
        <v>18</v>
      </c>
      <c r="G18" s="18" t="s">
        <v>18</v>
      </c>
      <c r="H18" s="21" t="s">
        <v>17</v>
      </c>
      <c r="I18" s="21" t="s">
        <v>17</v>
      </c>
      <c r="J18" s="21" t="s">
        <v>53</v>
      </c>
      <c r="K18" s="21" t="s">
        <v>18</v>
      </c>
      <c r="L18" s="21"/>
      <c r="M18" s="22"/>
      <c r="N18" s="6"/>
      <c r="O18" s="23" t="s">
        <v>38</v>
      </c>
      <c r="P18" s="18">
        <v>156</v>
      </c>
      <c r="Q18" s="18">
        <v>44</v>
      </c>
      <c r="R18" s="18">
        <v>30</v>
      </c>
      <c r="S18" s="18">
        <v>76</v>
      </c>
      <c r="T18" s="18">
        <v>47</v>
      </c>
      <c r="U18" s="18">
        <v>67</v>
      </c>
      <c r="V18" s="18">
        <v>25</v>
      </c>
      <c r="W18" s="18" t="s">
        <v>37</v>
      </c>
      <c r="X18" s="18">
        <v>121</v>
      </c>
      <c r="Y18" s="24"/>
      <c r="Z18" s="24"/>
      <c r="AA18" s="24"/>
      <c r="AB18" s="10"/>
      <c r="AC18" s="25" t="s">
        <v>39</v>
      </c>
      <c r="AD18" s="31">
        <f>COUNTIFS(P15:AA22,"&gt;250",P15:AA22,"&lt;501")</f>
        <v>0</v>
      </c>
      <c r="AE18" s="27">
        <f>COUNTIFS(P18:AA25,"&gt;250",P18:AA25,"&lt;501",B18:M25,"=i")</f>
        <v>0</v>
      </c>
      <c r="AF18" s="28">
        <f>COUNTIFS(P18:AA25,"&gt;250",P18:AA25,"&lt;501",B18:M25,"=s")</f>
        <v>0</v>
      </c>
      <c r="AG18" s="30">
        <f>COUNTIFS(P18:AA25,"&gt;250",P18:AA25,"&lt;501",B18:M25,"=g")</f>
        <v>0</v>
      </c>
      <c r="AH18" s="10"/>
    </row>
    <row r="19" spans="1:34">
      <c r="A19" s="16" t="s">
        <v>40</v>
      </c>
      <c r="B19" s="18" t="s">
        <v>53</v>
      </c>
      <c r="C19" s="21" t="s">
        <v>18</v>
      </c>
      <c r="D19" s="18" t="s">
        <v>17</v>
      </c>
      <c r="E19" s="18" t="s">
        <v>18</v>
      </c>
      <c r="F19" s="18" t="s">
        <v>18</v>
      </c>
      <c r="G19" s="21" t="s">
        <v>17</v>
      </c>
      <c r="H19" s="21" t="s">
        <v>17</v>
      </c>
      <c r="I19" s="21" t="s">
        <v>17</v>
      </c>
      <c r="J19" s="21" t="s">
        <v>18</v>
      </c>
      <c r="K19" s="21" t="s">
        <v>18</v>
      </c>
      <c r="L19" s="21"/>
      <c r="M19" s="22"/>
      <c r="N19" s="6"/>
      <c r="O19" s="23" t="s">
        <v>40</v>
      </c>
      <c r="P19" s="18" t="s">
        <v>37</v>
      </c>
      <c r="Q19" s="18">
        <v>123</v>
      </c>
      <c r="R19" s="18">
        <v>103</v>
      </c>
      <c r="S19" s="18">
        <v>57</v>
      </c>
      <c r="T19" s="18">
        <v>52</v>
      </c>
      <c r="U19" s="18">
        <v>54</v>
      </c>
      <c r="V19" s="18">
        <v>76</v>
      </c>
      <c r="W19" s="18">
        <v>65</v>
      </c>
      <c r="X19" s="18">
        <v>151</v>
      </c>
      <c r="Y19" s="24"/>
      <c r="Z19" s="24"/>
      <c r="AA19" s="24"/>
      <c r="AB19" s="10"/>
      <c r="AC19" s="25" t="s">
        <v>41</v>
      </c>
      <c r="AD19" s="31">
        <f>COUNTIF(P15:AA22,"&gt;500")</f>
        <v>0</v>
      </c>
      <c r="AE19" s="27">
        <f>COUNTIFS(P19:AA26,"&gt;500",B19:M26,"=i")</f>
        <v>0</v>
      </c>
      <c r="AF19" s="28">
        <f>COUNTIFS(P19:AA26,"&gt;500",B19:M26,"=s")</f>
        <v>0</v>
      </c>
      <c r="AG19" s="30">
        <f>COUNTIFS(P19:AA26,"&gt;500",B19:M26,"=g")</f>
        <v>0</v>
      </c>
      <c r="AH19" s="10"/>
    </row>
    <row r="20" spans="1:34">
      <c r="A20" s="16" t="s">
        <v>42</v>
      </c>
      <c r="B20" s="18" t="s">
        <v>18</v>
      </c>
      <c r="C20" s="21" t="s">
        <v>17</v>
      </c>
      <c r="D20" s="18" t="s">
        <v>17</v>
      </c>
      <c r="E20" s="18" t="s">
        <v>18</v>
      </c>
      <c r="F20" s="18" t="s">
        <v>53</v>
      </c>
      <c r="G20" s="21" t="s">
        <v>18</v>
      </c>
      <c r="H20" s="21" t="s">
        <v>35</v>
      </c>
      <c r="I20" s="21" t="s">
        <v>35</v>
      </c>
      <c r="J20" s="21" t="s">
        <v>18</v>
      </c>
      <c r="K20" s="21" t="s">
        <v>18</v>
      </c>
      <c r="L20" s="21"/>
      <c r="M20" s="22"/>
      <c r="N20" s="6"/>
      <c r="O20" s="23" t="s">
        <v>42</v>
      </c>
      <c r="P20" s="18" t="s">
        <v>37</v>
      </c>
      <c r="Q20" s="18">
        <v>53</v>
      </c>
      <c r="R20" s="18">
        <v>40</v>
      </c>
      <c r="S20" s="18">
        <v>57</v>
      </c>
      <c r="T20" s="18">
        <v>165</v>
      </c>
      <c r="U20" s="18">
        <v>54</v>
      </c>
      <c r="V20" s="18">
        <v>48</v>
      </c>
      <c r="W20" s="18">
        <v>87</v>
      </c>
      <c r="X20" s="18" t="s">
        <v>37</v>
      </c>
      <c r="Y20" s="24"/>
      <c r="Z20" s="24"/>
      <c r="AA20" s="24"/>
      <c r="AB20" s="10"/>
      <c r="AC20" s="10"/>
      <c r="AD20" s="10"/>
      <c r="AE20" s="10"/>
      <c r="AF20" s="10"/>
      <c r="AG20" s="10"/>
      <c r="AH20" s="10"/>
    </row>
    <row r="21" spans="1:34">
      <c r="A21" s="16" t="s">
        <v>43</v>
      </c>
      <c r="B21" s="18" t="s">
        <v>17</v>
      </c>
      <c r="C21" s="18" t="s">
        <v>17</v>
      </c>
      <c r="D21" s="18" t="s">
        <v>17</v>
      </c>
      <c r="E21" s="18" t="s">
        <v>18</v>
      </c>
      <c r="F21" s="18" t="s">
        <v>18</v>
      </c>
      <c r="G21" s="18" t="s">
        <v>18</v>
      </c>
      <c r="H21" s="21" t="s">
        <v>18</v>
      </c>
      <c r="I21" s="21" t="s">
        <v>17</v>
      </c>
      <c r="J21" s="21" t="s">
        <v>18</v>
      </c>
      <c r="K21" s="22"/>
      <c r="L21" s="22"/>
      <c r="M21" s="22"/>
      <c r="N21" s="6"/>
      <c r="O21" s="23" t="s">
        <v>43</v>
      </c>
      <c r="P21" s="18" t="s">
        <v>37</v>
      </c>
      <c r="Q21" s="18">
        <v>65</v>
      </c>
      <c r="R21" s="18">
        <v>42</v>
      </c>
      <c r="S21" s="18">
        <v>60</v>
      </c>
      <c r="T21" s="18">
        <v>50</v>
      </c>
      <c r="U21" s="18" t="s">
        <v>37</v>
      </c>
      <c r="V21" s="18">
        <v>75</v>
      </c>
      <c r="W21" s="18">
        <v>62</v>
      </c>
      <c r="X21" s="18" t="s">
        <v>37</v>
      </c>
      <c r="Y21" s="24"/>
      <c r="Z21" s="24"/>
      <c r="AA21" s="24"/>
      <c r="AB21" s="10"/>
      <c r="AC21" s="10"/>
      <c r="AD21" s="10"/>
      <c r="AE21" s="10"/>
      <c r="AF21" s="10"/>
      <c r="AG21" s="10"/>
      <c r="AH21" s="10"/>
    </row>
    <row r="22" spans="1:34">
      <c r="A22" s="16" t="s">
        <v>47</v>
      </c>
      <c r="B22" s="18" t="s">
        <v>17</v>
      </c>
      <c r="C22" s="18" t="s">
        <v>17</v>
      </c>
      <c r="D22" s="18" t="s">
        <v>17</v>
      </c>
      <c r="E22" s="18" t="s">
        <v>18</v>
      </c>
      <c r="F22" s="18" t="s">
        <v>17</v>
      </c>
      <c r="G22" s="18" t="s">
        <v>17</v>
      </c>
      <c r="H22" s="21" t="s">
        <v>18</v>
      </c>
      <c r="I22" s="21" t="s">
        <v>18</v>
      </c>
      <c r="J22" s="21" t="s">
        <v>18</v>
      </c>
      <c r="K22" s="22"/>
      <c r="L22" s="24"/>
      <c r="M22" s="24"/>
      <c r="N22" s="6"/>
      <c r="O22" s="23" t="s">
        <v>47</v>
      </c>
      <c r="P22" s="18" t="s">
        <v>37</v>
      </c>
      <c r="Q22" s="18">
        <v>150</v>
      </c>
      <c r="R22" s="18">
        <v>45</v>
      </c>
      <c r="S22" s="18">
        <v>59</v>
      </c>
      <c r="T22" s="18">
        <v>49</v>
      </c>
      <c r="U22" s="18">
        <v>81</v>
      </c>
      <c r="V22" s="18">
        <v>64</v>
      </c>
      <c r="W22" s="18" t="s">
        <v>37</v>
      </c>
      <c r="X22" s="18">
        <v>49</v>
      </c>
      <c r="Y22" s="24"/>
      <c r="Z22" s="24"/>
      <c r="AA22" s="24"/>
      <c r="AB22" s="10"/>
      <c r="AC22" s="10" t="s">
        <v>48</v>
      </c>
      <c r="AD22" s="3">
        <f>SUM(AD15:AD19)+30</f>
        <v>91</v>
      </c>
      <c r="AE22" s="10"/>
      <c r="AF22" s="10"/>
      <c r="AG22" s="10"/>
      <c r="AH22" s="10"/>
    </row>
    <row r="23" spans="1:3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203" t="s">
        <v>705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9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E25" s="3"/>
      <c r="AF25" s="3"/>
      <c r="AG25" s="3"/>
      <c r="AH25" s="3"/>
    </row>
    <row r="26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</sheetData>
  <conditionalFormatting sqref="B3:M10 B15:M22">
    <cfRule type="endsWith" dxfId="61" priority="1" operator="endsWith" text="SEM">
      <formula>RIGHT((B3),LEN("SEM"))=("SEM")</formula>
    </cfRule>
  </conditionalFormatting>
  <conditionalFormatting sqref="P3:AA10 P15:AA22">
    <cfRule type="cellIs" dxfId="60" priority="2" operator="equal">
      <formula>"u"</formula>
    </cfRule>
  </conditionalFormatting>
  <conditionalFormatting sqref="P3:AA10 P15:AA22">
    <cfRule type="cellIs" dxfId="59" priority="3" operator="equal">
      <formula>"N"</formula>
    </cfRule>
  </conditionalFormatting>
  <conditionalFormatting sqref="P3:AA10 P15:AA22">
    <cfRule type="cellIs" dxfId="58" priority="4" operator="equal">
      <formula>"?"</formula>
    </cfRule>
  </conditionalFormatting>
  <conditionalFormatting sqref="P3:AA10 P15:AA22">
    <cfRule type="cellIs" dxfId="57" priority="5" operator="equal">
      <formula>"X"</formula>
    </cfRule>
  </conditionalFormatting>
  <conditionalFormatting sqref="P3:AA10 P15:AA22">
    <cfRule type="cellIs" dxfId="56" priority="6" operator="equal">
      <formula>0</formula>
    </cfRule>
  </conditionalFormatting>
  <conditionalFormatting sqref="B3:M10 B15:M22">
    <cfRule type="endsWith" dxfId="55" priority="7" operator="endsWith" text="?">
      <formula>RIGHT((B3),LEN("?"))=("?")</formula>
    </cfRule>
  </conditionalFormatting>
  <conditionalFormatting sqref="B3:M10 P3:AA10 B15:M22 P15:AA22">
    <cfRule type="notContainsBlanks" dxfId="54" priority="8">
      <formula>LEN(TRIM(B3))&gt;0</formula>
    </cfRule>
  </conditionalFormatting>
  <conditionalFormatting sqref="B3:M10 B15:M22">
    <cfRule type="containsBlanks" dxfId="53" priority="9">
      <formula>LEN(TRIM(B3))=0</formula>
    </cfRule>
  </conditionalFormatting>
  <conditionalFormatting sqref="P3 P15">
    <cfRule type="notContainsBlanks" dxfId="52" priority="10">
      <formula>LEN(TRIM(P3))&gt;0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H39"/>
  <sheetViews>
    <sheetView workbookViewId="0">
      <selection activeCell="K42" sqref="K42"/>
    </sheetView>
  </sheetViews>
  <sheetFormatPr baseColWidth="10" defaultColWidth="11.1640625" defaultRowHeight="15" customHeight="1"/>
  <cols>
    <col min="1" max="28" width="5.33203125" customWidth="1"/>
    <col min="29" max="29" width="7.5" customWidth="1"/>
    <col min="30" max="34" width="5.33203125" customWidth="1"/>
  </cols>
  <sheetData>
    <row r="1" spans="1:34" ht="16">
      <c r="A1" s="54">
        <v>6.3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54" t="s">
        <v>96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  <c r="AC1" s="57"/>
      <c r="AD1" s="57"/>
      <c r="AE1" s="57"/>
      <c r="AF1" s="57"/>
      <c r="AG1" s="57"/>
      <c r="AH1" s="57"/>
    </row>
    <row r="2" spans="1:34" ht="16">
      <c r="A2" s="58" t="s">
        <v>3</v>
      </c>
      <c r="B2" s="59">
        <v>1</v>
      </c>
      <c r="C2" s="59">
        <v>2</v>
      </c>
      <c r="D2" s="59">
        <v>3</v>
      </c>
      <c r="E2" s="59">
        <v>4</v>
      </c>
      <c r="F2" s="59">
        <v>5</v>
      </c>
      <c r="G2" s="59">
        <v>6</v>
      </c>
      <c r="H2" s="59">
        <v>7</v>
      </c>
      <c r="I2" s="59">
        <v>8</v>
      </c>
      <c r="J2" s="59">
        <v>9</v>
      </c>
      <c r="K2" s="59">
        <v>10</v>
      </c>
      <c r="L2" s="59">
        <v>11</v>
      </c>
      <c r="M2" s="59">
        <v>12</v>
      </c>
      <c r="N2" s="60"/>
      <c r="O2" s="61" t="s">
        <v>8</v>
      </c>
      <c r="P2" s="59">
        <v>1</v>
      </c>
      <c r="Q2" s="59">
        <v>2</v>
      </c>
      <c r="R2" s="59">
        <v>3</v>
      </c>
      <c r="S2" s="59">
        <v>4</v>
      </c>
      <c r="T2" s="59">
        <v>5</v>
      </c>
      <c r="U2" s="59">
        <v>6</v>
      </c>
      <c r="V2" s="59">
        <v>7</v>
      </c>
      <c r="W2" s="59">
        <v>8</v>
      </c>
      <c r="X2" s="59">
        <v>9</v>
      </c>
      <c r="Y2" s="59">
        <v>10</v>
      </c>
      <c r="Z2" s="59">
        <v>11</v>
      </c>
      <c r="AA2" s="59">
        <v>12</v>
      </c>
      <c r="AB2" s="57"/>
      <c r="AC2" s="11" t="s">
        <v>9</v>
      </c>
      <c r="AD2" s="12" t="s">
        <v>10</v>
      </c>
      <c r="AE2" s="14" t="s">
        <v>11</v>
      </c>
      <c r="AF2" s="14" t="s">
        <v>12</v>
      </c>
      <c r="AG2" s="14" t="s">
        <v>13</v>
      </c>
      <c r="AH2" s="62"/>
    </row>
    <row r="3" spans="1:34" ht="16">
      <c r="A3" s="63" t="s">
        <v>14</v>
      </c>
      <c r="B3" s="64" t="s">
        <v>18</v>
      </c>
      <c r="C3" s="64" t="s">
        <v>18</v>
      </c>
      <c r="D3" s="65" t="s">
        <v>17</v>
      </c>
      <c r="E3" s="64" t="s">
        <v>63</v>
      </c>
      <c r="F3" s="64" t="s">
        <v>17</v>
      </c>
      <c r="G3" s="66" t="s">
        <v>17</v>
      </c>
      <c r="H3" s="66" t="s">
        <v>78</v>
      </c>
      <c r="I3" s="66" t="s">
        <v>17</v>
      </c>
      <c r="J3" s="66" t="s">
        <v>18</v>
      </c>
      <c r="K3" s="66" t="s">
        <v>97</v>
      </c>
      <c r="L3" s="66" t="s">
        <v>17</v>
      </c>
      <c r="M3" s="66" t="s">
        <v>18</v>
      </c>
      <c r="N3" s="60"/>
      <c r="O3" s="23" t="s">
        <v>14</v>
      </c>
      <c r="P3" s="67" t="s">
        <v>37</v>
      </c>
      <c r="Q3" s="67" t="s">
        <v>37</v>
      </c>
      <c r="R3" s="67" t="s">
        <v>37</v>
      </c>
      <c r="S3" s="67">
        <v>37</v>
      </c>
      <c r="T3" s="67">
        <v>35</v>
      </c>
      <c r="U3" s="67" t="s">
        <v>37</v>
      </c>
      <c r="V3" s="67">
        <v>31</v>
      </c>
      <c r="W3" s="67">
        <v>32</v>
      </c>
      <c r="X3" s="67">
        <v>22</v>
      </c>
      <c r="Y3" s="67">
        <v>42</v>
      </c>
      <c r="Z3" s="67" t="s">
        <v>37</v>
      </c>
      <c r="AA3" s="67">
        <v>39</v>
      </c>
      <c r="AB3" s="68"/>
      <c r="AC3" s="69" t="s">
        <v>21</v>
      </c>
      <c r="AD3" s="26">
        <f>COUNTIFS(P3:AA10,"&gt;0",P3:AA10,"&lt;51")</f>
        <v>63</v>
      </c>
      <c r="AE3" s="70">
        <f>COUNTIFS(P3:AA10,"&gt;0",P3:AA10,"&lt;51",B3:M10,"=i")</f>
        <v>24</v>
      </c>
      <c r="AF3" s="71">
        <f>COUNTIFS(P3:AA10,"&gt;0",P3:AA10,"&lt;51",B3:M10,"=s")</f>
        <v>15</v>
      </c>
      <c r="AG3" s="48">
        <f>COUNTIFS(P3:AA10,"&gt;0",P3:AA10,"&lt;51",B3:M10,"=g")</f>
        <v>0</v>
      </c>
      <c r="AH3" s="57"/>
    </row>
    <row r="4" spans="1:34" ht="16">
      <c r="A4" s="63" t="s">
        <v>32</v>
      </c>
      <c r="B4" s="64" t="s">
        <v>17</v>
      </c>
      <c r="C4" s="64" t="s">
        <v>18</v>
      </c>
      <c r="D4" s="64" t="s">
        <v>18</v>
      </c>
      <c r="E4" s="64" t="s">
        <v>17</v>
      </c>
      <c r="F4" s="66" t="s">
        <v>17</v>
      </c>
      <c r="G4" s="66" t="s">
        <v>63</v>
      </c>
      <c r="H4" s="66" t="s">
        <v>17</v>
      </c>
      <c r="I4" s="66" t="s">
        <v>17</v>
      </c>
      <c r="J4" s="66" t="s">
        <v>17</v>
      </c>
      <c r="K4" s="66" t="s">
        <v>17</v>
      </c>
      <c r="L4" s="66" t="s">
        <v>17</v>
      </c>
      <c r="M4" s="66" t="s">
        <v>17</v>
      </c>
      <c r="N4" s="60"/>
      <c r="O4" s="23" t="s">
        <v>32</v>
      </c>
      <c r="P4" s="67">
        <v>36</v>
      </c>
      <c r="Q4" s="67">
        <v>50</v>
      </c>
      <c r="R4" s="67">
        <v>32</v>
      </c>
      <c r="S4" s="67">
        <v>38</v>
      </c>
      <c r="T4" s="67">
        <v>44</v>
      </c>
      <c r="U4" s="67">
        <v>44</v>
      </c>
      <c r="V4" s="67">
        <v>29</v>
      </c>
      <c r="W4" s="67">
        <v>20</v>
      </c>
      <c r="X4" s="67">
        <v>38</v>
      </c>
      <c r="Y4" s="67">
        <v>49</v>
      </c>
      <c r="Z4" s="67">
        <v>38</v>
      </c>
      <c r="AA4" s="67" t="s">
        <v>37</v>
      </c>
      <c r="AB4" s="68"/>
      <c r="AC4" s="69" t="s">
        <v>33</v>
      </c>
      <c r="AD4" s="72">
        <f>COUNTIFS(P3:AA10,"&gt;50",P3:AA10,"&lt;126")</f>
        <v>6</v>
      </c>
      <c r="AE4" s="70">
        <f>COUNTIFS(P4:AA11,"&gt;50",P4:AA11,"&lt;126",B4:M11,"=i")</f>
        <v>3</v>
      </c>
      <c r="AF4" s="71">
        <f>COUNTIFS(P4:AA11,"&gt;50",P4:AA11,"&lt;126",B4:M11,"=s")</f>
        <v>0</v>
      </c>
      <c r="AG4" s="48">
        <f>COUNTIFS(P4:AA11,"&gt;50",P4:AA11,"&lt;126",B4:M11,"=g")</f>
        <v>0</v>
      </c>
      <c r="AH4" s="57"/>
    </row>
    <row r="5" spans="1:34" ht="16">
      <c r="A5" s="63" t="s">
        <v>34</v>
      </c>
      <c r="B5" s="64" t="s">
        <v>66</v>
      </c>
      <c r="C5" s="64" t="s">
        <v>17</v>
      </c>
      <c r="D5" s="64" t="s">
        <v>78</v>
      </c>
      <c r="E5" s="64" t="s">
        <v>63</v>
      </c>
      <c r="F5" s="66" t="s">
        <v>63</v>
      </c>
      <c r="G5" s="66" t="s">
        <v>17</v>
      </c>
      <c r="H5" s="66" t="s">
        <v>17</v>
      </c>
      <c r="I5" s="66" t="s">
        <v>17</v>
      </c>
      <c r="J5" s="66" t="s">
        <v>17</v>
      </c>
      <c r="K5" s="66" t="s">
        <v>17</v>
      </c>
      <c r="L5" s="66" t="s">
        <v>18</v>
      </c>
      <c r="M5" s="66" t="s">
        <v>18</v>
      </c>
      <c r="N5" s="60"/>
      <c r="O5" s="23" t="s">
        <v>34</v>
      </c>
      <c r="P5" s="67">
        <v>29</v>
      </c>
      <c r="Q5" s="67">
        <v>36</v>
      </c>
      <c r="R5" s="67">
        <v>42</v>
      </c>
      <c r="S5" s="67">
        <v>35</v>
      </c>
      <c r="T5" s="67">
        <v>37</v>
      </c>
      <c r="U5" s="67">
        <v>17</v>
      </c>
      <c r="V5" s="67" t="s">
        <v>37</v>
      </c>
      <c r="W5" s="67">
        <v>35</v>
      </c>
      <c r="X5" s="67" t="s">
        <v>37</v>
      </c>
      <c r="Y5" s="67">
        <v>41</v>
      </c>
      <c r="Z5" s="67">
        <v>43</v>
      </c>
      <c r="AA5" s="67">
        <v>32</v>
      </c>
      <c r="AB5" s="68"/>
      <c r="AC5" s="69" t="s">
        <v>36</v>
      </c>
      <c r="AD5" s="72">
        <f>COUNTIFS(P3:AA10,"&gt;125",P3:AA10,"&lt;251")</f>
        <v>0</v>
      </c>
      <c r="AE5" s="70">
        <f>COUNTIFS(P5:AA12,"&gt;125",P5:AA12,"&lt;251",B5:M12,"=i")</f>
        <v>0</v>
      </c>
      <c r="AF5" s="71">
        <f>COUNTIFS(P5:AA12,"&gt;125",P5:AA12,"&lt;251",B5:M12,"=s")</f>
        <v>0</v>
      </c>
      <c r="AG5" s="48">
        <f>COUNTIFS(P5:AA12,"&gt;125",P5:AA12,"&lt;251",B5:M12,"=g")</f>
        <v>0</v>
      </c>
      <c r="AH5" s="57"/>
    </row>
    <row r="6" spans="1:34" ht="16">
      <c r="A6" s="63" t="s">
        <v>38</v>
      </c>
      <c r="B6" s="64" t="s">
        <v>63</v>
      </c>
      <c r="C6" s="64" t="s">
        <v>17</v>
      </c>
      <c r="D6" s="64" t="s">
        <v>17</v>
      </c>
      <c r="E6" s="64" t="s">
        <v>17</v>
      </c>
      <c r="F6" s="66" t="s">
        <v>63</v>
      </c>
      <c r="G6" s="66" t="s">
        <v>17</v>
      </c>
      <c r="H6" s="66" t="s">
        <v>17</v>
      </c>
      <c r="I6" s="66" t="s">
        <v>18</v>
      </c>
      <c r="J6" s="66" t="s">
        <v>18</v>
      </c>
      <c r="K6" s="66" t="s">
        <v>17</v>
      </c>
      <c r="L6" s="66" t="s">
        <v>18</v>
      </c>
      <c r="M6" s="66" t="s">
        <v>17</v>
      </c>
      <c r="N6" s="60"/>
      <c r="O6" s="23" t="s">
        <v>38</v>
      </c>
      <c r="P6" s="67">
        <v>27</v>
      </c>
      <c r="Q6" s="67" t="s">
        <v>37</v>
      </c>
      <c r="R6" s="67">
        <v>21</v>
      </c>
      <c r="S6" s="67">
        <v>37</v>
      </c>
      <c r="T6" s="67">
        <v>35</v>
      </c>
      <c r="U6" s="67" t="s">
        <v>37</v>
      </c>
      <c r="V6" s="67">
        <v>41</v>
      </c>
      <c r="W6" s="67">
        <v>47</v>
      </c>
      <c r="X6" s="67" t="s">
        <v>37</v>
      </c>
      <c r="Y6" s="67" t="s">
        <v>77</v>
      </c>
      <c r="Z6" s="67">
        <v>50</v>
      </c>
      <c r="AA6" s="67">
        <v>50</v>
      </c>
      <c r="AB6" s="68"/>
      <c r="AC6" s="69" t="s">
        <v>39</v>
      </c>
      <c r="AD6" s="72">
        <f>COUNTIFS(P3:AA10,"&gt;250",P3:AA10,"&lt;501")</f>
        <v>0</v>
      </c>
      <c r="AE6" s="70">
        <f>COUNTIFS(P6:AA13,"&gt;250",P6:AA13,"&lt;501",B6:M13,"=i")</f>
        <v>0</v>
      </c>
      <c r="AF6" s="71">
        <f>COUNTIFS(P6:AA13,"&gt;250",P6:AA13,"&lt;501",B6:M13,"=s")</f>
        <v>0</v>
      </c>
      <c r="AG6" s="48">
        <f>COUNTIFS(P6:AA13,"&gt;250",P6:AA13,"&lt;501",B6:M13,"=g")</f>
        <v>0</v>
      </c>
      <c r="AH6" s="57"/>
    </row>
    <row r="7" spans="1:34" ht="16">
      <c r="A7" s="63" t="s">
        <v>40</v>
      </c>
      <c r="B7" s="64" t="s">
        <v>17</v>
      </c>
      <c r="C7" s="65" t="s">
        <v>63</v>
      </c>
      <c r="D7" s="64" t="s">
        <v>17</v>
      </c>
      <c r="E7" s="64" t="s">
        <v>17</v>
      </c>
      <c r="F7" s="66" t="s">
        <v>63</v>
      </c>
      <c r="G7" s="66" t="s">
        <v>17</v>
      </c>
      <c r="H7" s="66" t="s">
        <v>17</v>
      </c>
      <c r="I7" s="66" t="s">
        <v>18</v>
      </c>
      <c r="J7" s="66" t="s">
        <v>18</v>
      </c>
      <c r="K7" s="66" t="s">
        <v>17</v>
      </c>
      <c r="L7" s="66" t="s">
        <v>17</v>
      </c>
      <c r="M7" s="66" t="s">
        <v>18</v>
      </c>
      <c r="N7" s="60"/>
      <c r="O7" s="23" t="s">
        <v>40</v>
      </c>
      <c r="P7" s="67" t="s">
        <v>37</v>
      </c>
      <c r="Q7" s="67">
        <v>33</v>
      </c>
      <c r="R7" s="67" t="s">
        <v>37</v>
      </c>
      <c r="S7" s="67">
        <v>30</v>
      </c>
      <c r="T7" s="67">
        <v>41</v>
      </c>
      <c r="U7" s="67">
        <v>22</v>
      </c>
      <c r="V7" s="67">
        <v>28</v>
      </c>
      <c r="W7" s="67" t="s">
        <v>37</v>
      </c>
      <c r="X7" s="67">
        <v>43</v>
      </c>
      <c r="Y7" s="67" t="s">
        <v>37</v>
      </c>
      <c r="Z7" s="67" t="s">
        <v>37</v>
      </c>
      <c r="AA7" s="67">
        <v>50</v>
      </c>
      <c r="AB7" s="68"/>
      <c r="AC7" s="69" t="s">
        <v>41</v>
      </c>
      <c r="AD7" s="72">
        <f>COUNTIF(P3:AA10,"&gt;500")</f>
        <v>0</v>
      </c>
      <c r="AE7" s="70">
        <f>COUNTIFS(P7:AA14,"&gt;500",B7:M14,"=i")</f>
        <v>0</v>
      </c>
      <c r="AF7" s="71">
        <f>COUNTIFS(P7:AA14,"&gt;500",B7:M14,"=s")</f>
        <v>0</v>
      </c>
      <c r="AG7" s="48">
        <f>COUNTIFS(P7:AA14,"&gt;500",B7:M14,"=g")</f>
        <v>0</v>
      </c>
      <c r="AH7" s="57"/>
    </row>
    <row r="8" spans="1:34" ht="16">
      <c r="A8" s="63" t="s">
        <v>42</v>
      </c>
      <c r="B8" s="64" t="s">
        <v>63</v>
      </c>
      <c r="C8" s="65" t="s">
        <v>63</v>
      </c>
      <c r="D8" s="64" t="s">
        <v>18</v>
      </c>
      <c r="E8" s="64" t="s">
        <v>63</v>
      </c>
      <c r="F8" s="66" t="s">
        <v>63</v>
      </c>
      <c r="G8" s="66" t="s">
        <v>63</v>
      </c>
      <c r="H8" s="66" t="s">
        <v>17</v>
      </c>
      <c r="I8" s="66" t="s">
        <v>17</v>
      </c>
      <c r="J8" s="66" t="s">
        <v>17</v>
      </c>
      <c r="K8" s="66" t="s">
        <v>18</v>
      </c>
      <c r="L8" s="66" t="s">
        <v>56</v>
      </c>
      <c r="M8" s="66" t="s">
        <v>17</v>
      </c>
      <c r="N8" s="60"/>
      <c r="O8" s="23" t="s">
        <v>42</v>
      </c>
      <c r="P8" s="67">
        <v>37</v>
      </c>
      <c r="Q8" s="67">
        <v>33</v>
      </c>
      <c r="R8" s="67">
        <v>20</v>
      </c>
      <c r="S8" s="67">
        <v>53</v>
      </c>
      <c r="T8" s="67">
        <v>32</v>
      </c>
      <c r="U8" s="67">
        <v>40</v>
      </c>
      <c r="V8" s="67">
        <v>51</v>
      </c>
      <c r="W8" s="67">
        <v>55</v>
      </c>
      <c r="X8" s="67">
        <v>49</v>
      </c>
      <c r="Y8" s="67">
        <v>37</v>
      </c>
      <c r="Z8" s="67">
        <v>53</v>
      </c>
      <c r="AA8" s="67">
        <v>58</v>
      </c>
      <c r="AB8" s="57"/>
      <c r="AC8" s="57"/>
      <c r="AD8" s="57"/>
      <c r="AE8" s="57"/>
      <c r="AF8" s="57"/>
      <c r="AG8" s="57"/>
      <c r="AH8" s="57"/>
    </row>
    <row r="9" spans="1:34" ht="16">
      <c r="A9" s="63" t="s">
        <v>43</v>
      </c>
      <c r="B9" s="64" t="s">
        <v>63</v>
      </c>
      <c r="C9" s="64" t="s">
        <v>63</v>
      </c>
      <c r="D9" s="64" t="s">
        <v>66</v>
      </c>
      <c r="E9" s="64" t="s">
        <v>63</v>
      </c>
      <c r="F9" s="66" t="s">
        <v>17</v>
      </c>
      <c r="G9" s="66" t="s">
        <v>17</v>
      </c>
      <c r="H9" s="66" t="s">
        <v>18</v>
      </c>
      <c r="I9" s="66" t="s">
        <v>56</v>
      </c>
      <c r="J9" s="66" t="s">
        <v>17</v>
      </c>
      <c r="K9" s="66" t="s">
        <v>17</v>
      </c>
      <c r="L9" s="66" t="s">
        <v>17</v>
      </c>
      <c r="M9" s="66" t="s">
        <v>17</v>
      </c>
      <c r="N9" s="60"/>
      <c r="O9" s="23" t="s">
        <v>43</v>
      </c>
      <c r="P9" s="67">
        <v>42</v>
      </c>
      <c r="Q9" s="67">
        <v>35</v>
      </c>
      <c r="R9" s="67">
        <v>37</v>
      </c>
      <c r="S9" s="67">
        <v>58</v>
      </c>
      <c r="T9" s="67" t="s">
        <v>37</v>
      </c>
      <c r="U9" s="67" t="s">
        <v>37</v>
      </c>
      <c r="V9" s="67">
        <v>42</v>
      </c>
      <c r="W9" s="67">
        <v>37</v>
      </c>
      <c r="X9" s="67" t="s">
        <v>37</v>
      </c>
      <c r="Y9" s="67">
        <v>37</v>
      </c>
      <c r="Z9" s="67" t="s">
        <v>37</v>
      </c>
      <c r="AA9" s="67" t="s">
        <v>37</v>
      </c>
      <c r="AB9" s="57"/>
      <c r="AC9" s="57"/>
      <c r="AD9" s="57"/>
      <c r="AE9" s="57"/>
      <c r="AF9" s="57"/>
      <c r="AG9" s="57"/>
      <c r="AH9" s="57"/>
    </row>
    <row r="10" spans="1:34" ht="16">
      <c r="A10" s="63" t="s">
        <v>47</v>
      </c>
      <c r="B10" s="64" t="s">
        <v>18</v>
      </c>
      <c r="C10" s="64" t="s">
        <v>63</v>
      </c>
      <c r="D10" s="64" t="s">
        <v>63</v>
      </c>
      <c r="E10" s="64" t="s">
        <v>63</v>
      </c>
      <c r="F10" s="66" t="s">
        <v>66</v>
      </c>
      <c r="G10" s="66" t="s">
        <v>17</v>
      </c>
      <c r="H10" s="66" t="s">
        <v>18</v>
      </c>
      <c r="I10" s="66" t="s">
        <v>17</v>
      </c>
      <c r="J10" s="66" t="s">
        <v>17</v>
      </c>
      <c r="K10" s="66" t="s">
        <v>17</v>
      </c>
      <c r="L10" s="66" t="s">
        <v>17</v>
      </c>
      <c r="M10" s="66" t="s">
        <v>18</v>
      </c>
      <c r="N10" s="60"/>
      <c r="O10" s="23" t="s">
        <v>47</v>
      </c>
      <c r="P10" s="67" t="s">
        <v>37</v>
      </c>
      <c r="Q10" s="67">
        <v>42</v>
      </c>
      <c r="R10" s="67">
        <v>30</v>
      </c>
      <c r="S10" s="67">
        <v>36</v>
      </c>
      <c r="T10" s="67">
        <v>36</v>
      </c>
      <c r="U10" s="67" t="s">
        <v>37</v>
      </c>
      <c r="V10" s="67">
        <v>44</v>
      </c>
      <c r="W10" s="67" t="s">
        <v>37</v>
      </c>
      <c r="X10" s="67" t="s">
        <v>37</v>
      </c>
      <c r="Y10" s="67" t="s">
        <v>37</v>
      </c>
      <c r="Z10" s="67">
        <v>35</v>
      </c>
      <c r="AA10" s="67">
        <v>30</v>
      </c>
      <c r="AB10" s="57"/>
      <c r="AC10" s="57"/>
      <c r="AD10" s="57"/>
      <c r="AE10" s="57"/>
      <c r="AF10" s="57"/>
      <c r="AG10" s="57"/>
      <c r="AH10" s="57"/>
    </row>
    <row r="11" spans="1:34" ht="16">
      <c r="D11" s="29" t="s">
        <v>98</v>
      </c>
      <c r="H11" s="29" t="s">
        <v>99</v>
      </c>
      <c r="I11" s="29" t="s">
        <v>100</v>
      </c>
      <c r="K11" s="29" t="s">
        <v>101</v>
      </c>
      <c r="L11" s="29" t="s">
        <v>102</v>
      </c>
      <c r="P11" s="29"/>
      <c r="Q11" s="29"/>
      <c r="R11" s="29">
        <v>41</v>
      </c>
      <c r="S11" s="29"/>
      <c r="T11" s="29"/>
      <c r="U11" s="29"/>
      <c r="V11" s="29">
        <v>32</v>
      </c>
      <c r="W11" s="29">
        <v>37</v>
      </c>
      <c r="X11" s="29"/>
      <c r="Y11" s="29">
        <v>32</v>
      </c>
      <c r="Z11" s="29">
        <v>59</v>
      </c>
      <c r="AA11" s="29"/>
    </row>
    <row r="12" spans="1:34" ht="16">
      <c r="R12" s="29"/>
      <c r="V12" s="29"/>
      <c r="W12" s="29"/>
      <c r="Y12" s="29"/>
      <c r="Z12" s="29"/>
    </row>
    <row r="13" spans="1:34" ht="16">
      <c r="T13" s="29"/>
    </row>
    <row r="14" spans="1:34" ht="16">
      <c r="A14" s="54">
        <v>6.4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4" t="s">
        <v>103</v>
      </c>
      <c r="P14" s="56"/>
      <c r="Q14" s="73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  <c r="AC14" s="57"/>
      <c r="AD14" s="57"/>
      <c r="AE14" s="57"/>
      <c r="AF14" s="57"/>
      <c r="AG14" s="57"/>
      <c r="AH14" s="57"/>
    </row>
    <row r="15" spans="1:34" ht="16">
      <c r="A15" s="58" t="s">
        <v>3</v>
      </c>
      <c r="B15" s="59">
        <v>1</v>
      </c>
      <c r="C15" s="59">
        <v>2</v>
      </c>
      <c r="D15" s="59">
        <v>3</v>
      </c>
      <c r="E15" s="59">
        <v>4</v>
      </c>
      <c r="F15" s="59">
        <v>5</v>
      </c>
      <c r="G15" s="59">
        <v>6</v>
      </c>
      <c r="H15" s="59">
        <v>7</v>
      </c>
      <c r="I15" s="59">
        <v>8</v>
      </c>
      <c r="J15" s="59">
        <v>9</v>
      </c>
      <c r="K15" s="59">
        <v>10</v>
      </c>
      <c r="L15" s="59">
        <v>11</v>
      </c>
      <c r="M15" s="59">
        <v>12</v>
      </c>
      <c r="N15" s="60"/>
      <c r="O15" s="61" t="s">
        <v>8</v>
      </c>
      <c r="P15" s="59">
        <v>1</v>
      </c>
      <c r="Q15" s="59">
        <v>2</v>
      </c>
      <c r="R15" s="59">
        <v>3</v>
      </c>
      <c r="S15" s="59">
        <v>4</v>
      </c>
      <c r="T15" s="59">
        <v>5</v>
      </c>
      <c r="U15" s="59">
        <v>6</v>
      </c>
      <c r="V15" s="59">
        <v>7</v>
      </c>
      <c r="W15" s="59">
        <v>8</v>
      </c>
      <c r="X15" s="59">
        <v>9</v>
      </c>
      <c r="Y15" s="59">
        <v>10</v>
      </c>
      <c r="Z15" s="59">
        <v>11</v>
      </c>
      <c r="AA15" s="59">
        <v>12</v>
      </c>
      <c r="AB15" s="57"/>
      <c r="AC15" s="11" t="s">
        <v>9</v>
      </c>
      <c r="AD15" s="12" t="s">
        <v>10</v>
      </c>
      <c r="AE15" s="14" t="s">
        <v>11</v>
      </c>
      <c r="AF15" s="14" t="s">
        <v>12</v>
      </c>
      <c r="AG15" s="14" t="s">
        <v>13</v>
      </c>
      <c r="AH15" s="62"/>
    </row>
    <row r="16" spans="1:34" ht="16">
      <c r="A16" s="63" t="s">
        <v>14</v>
      </c>
      <c r="B16" s="64" t="s">
        <v>18</v>
      </c>
      <c r="C16" s="64" t="s">
        <v>18</v>
      </c>
      <c r="D16" s="65" t="s">
        <v>35</v>
      </c>
      <c r="E16" s="64" t="s">
        <v>17</v>
      </c>
      <c r="F16" s="64" t="s">
        <v>17</v>
      </c>
      <c r="G16" s="66" t="s">
        <v>17</v>
      </c>
      <c r="H16" s="66" t="s">
        <v>18</v>
      </c>
      <c r="I16" s="66" t="s">
        <v>17</v>
      </c>
      <c r="J16" s="66" t="s">
        <v>17</v>
      </c>
      <c r="K16" s="66" t="s">
        <v>17</v>
      </c>
      <c r="L16" s="66" t="s">
        <v>18</v>
      </c>
      <c r="M16" s="66" t="s">
        <v>17</v>
      </c>
      <c r="N16" s="60"/>
      <c r="O16" s="23" t="s">
        <v>14</v>
      </c>
      <c r="P16" s="74">
        <v>226</v>
      </c>
      <c r="Q16" s="74">
        <v>61</v>
      </c>
      <c r="R16" s="74" t="s">
        <v>37</v>
      </c>
      <c r="S16" s="74">
        <v>49</v>
      </c>
      <c r="T16" s="74">
        <v>47</v>
      </c>
      <c r="U16" s="74">
        <v>61</v>
      </c>
      <c r="V16" s="74">
        <v>57</v>
      </c>
      <c r="W16" s="74">
        <v>42</v>
      </c>
      <c r="X16" s="74">
        <v>40</v>
      </c>
      <c r="Y16" s="74">
        <v>39</v>
      </c>
      <c r="Z16" s="74">
        <v>62</v>
      </c>
      <c r="AA16" s="74">
        <v>41</v>
      </c>
      <c r="AB16" s="68"/>
      <c r="AC16" s="69" t="s">
        <v>21</v>
      </c>
      <c r="AD16" s="26">
        <f>COUNTIFS(P16:AA23,"&gt;0",P16:AA23,"&lt;51")</f>
        <v>54</v>
      </c>
      <c r="AE16" s="70">
        <f>COUNTIFS(P16:AA23,"&gt;0",P16:AA23,"&lt;51",B16:M23,"=i")</f>
        <v>42</v>
      </c>
      <c r="AF16" s="71">
        <f>COUNTIFS(P16:AA23,"&gt;0",P16:AA23,"&lt;51",B16:M23,"=s")</f>
        <v>9</v>
      </c>
      <c r="AG16" s="48">
        <f>COUNTIFS(P16:AA23,"&gt;0",P16:AA23,"&lt;51",B16:M23,"=g")</f>
        <v>0</v>
      </c>
      <c r="AH16" s="57"/>
    </row>
    <row r="17" spans="1:34" ht="16">
      <c r="A17" s="63" t="s">
        <v>32</v>
      </c>
      <c r="B17" s="64" t="s">
        <v>18</v>
      </c>
      <c r="C17" s="64" t="s">
        <v>17</v>
      </c>
      <c r="D17" s="64" t="s">
        <v>17</v>
      </c>
      <c r="E17" s="64" t="s">
        <v>17</v>
      </c>
      <c r="F17" s="66" t="s">
        <v>17</v>
      </c>
      <c r="G17" s="66" t="s">
        <v>17</v>
      </c>
      <c r="H17" s="66" t="s">
        <v>17</v>
      </c>
      <c r="I17" s="66" t="s">
        <v>18</v>
      </c>
      <c r="J17" s="66" t="s">
        <v>17</v>
      </c>
      <c r="K17" s="66" t="s">
        <v>17</v>
      </c>
      <c r="L17" s="66" t="s">
        <v>18</v>
      </c>
      <c r="M17" s="66" t="s">
        <v>17</v>
      </c>
      <c r="N17" s="60"/>
      <c r="O17" s="23" t="s">
        <v>32</v>
      </c>
      <c r="P17" s="74">
        <v>45</v>
      </c>
      <c r="Q17" s="74">
        <v>60</v>
      </c>
      <c r="R17" s="74">
        <v>40</v>
      </c>
      <c r="S17" s="74">
        <v>39</v>
      </c>
      <c r="T17" s="74">
        <v>52</v>
      </c>
      <c r="U17" s="74">
        <v>38</v>
      </c>
      <c r="V17" s="74">
        <v>44</v>
      </c>
      <c r="W17" s="74">
        <v>41</v>
      </c>
      <c r="X17" s="74">
        <v>44</v>
      </c>
      <c r="Y17" s="74">
        <v>58</v>
      </c>
      <c r="Z17" s="74">
        <v>47</v>
      </c>
      <c r="AA17" s="74" t="s">
        <v>37</v>
      </c>
      <c r="AB17" s="68"/>
      <c r="AC17" s="69" t="s">
        <v>33</v>
      </c>
      <c r="AD17" s="72">
        <f>COUNTIFS(P16:AA23,"&gt;50",P16:AA23,"&lt;126")</f>
        <v>17</v>
      </c>
      <c r="AE17" s="70">
        <f>COUNTIFS(P17:AA24,"&gt;50",P17:AA24,"&lt;126",B17:M24,"=i")</f>
        <v>7</v>
      </c>
      <c r="AF17" s="71">
        <f>COUNTIFS(P17:AA24,"&gt;50",P17:AA24,"&lt;126",B17:M24,"=s")</f>
        <v>6</v>
      </c>
      <c r="AG17" s="48">
        <f>COUNTIFS(P17:AA24,"&gt;50",P17:AA24,"&lt;126",B17:M24,"=g")</f>
        <v>0</v>
      </c>
      <c r="AH17" s="57"/>
    </row>
    <row r="18" spans="1:34" ht="16">
      <c r="A18" s="63" t="s">
        <v>34</v>
      </c>
      <c r="B18" s="64" t="s">
        <v>18</v>
      </c>
      <c r="C18" s="64" t="s">
        <v>35</v>
      </c>
      <c r="D18" s="64" t="s">
        <v>35</v>
      </c>
      <c r="E18" s="64" t="s">
        <v>17</v>
      </c>
      <c r="F18" s="66" t="s">
        <v>17</v>
      </c>
      <c r="G18" s="66" t="s">
        <v>17</v>
      </c>
      <c r="H18" s="66" t="s">
        <v>18</v>
      </c>
      <c r="I18" s="66" t="s">
        <v>17</v>
      </c>
      <c r="J18" s="66" t="s">
        <v>18</v>
      </c>
      <c r="K18" s="66" t="s">
        <v>17</v>
      </c>
      <c r="L18" s="66" t="s">
        <v>17</v>
      </c>
      <c r="M18" s="66" t="s">
        <v>17</v>
      </c>
      <c r="N18" s="60"/>
      <c r="O18" s="23" t="s">
        <v>34</v>
      </c>
      <c r="P18" s="74" t="s">
        <v>37</v>
      </c>
      <c r="Q18" s="74" t="s">
        <v>37</v>
      </c>
      <c r="R18" s="74">
        <v>34</v>
      </c>
      <c r="S18" s="74">
        <v>40</v>
      </c>
      <c r="T18" s="74" t="s">
        <v>37</v>
      </c>
      <c r="U18" s="74">
        <v>38</v>
      </c>
      <c r="V18" s="74" t="s">
        <v>37</v>
      </c>
      <c r="W18" s="74" t="s">
        <v>37</v>
      </c>
      <c r="X18" s="74">
        <v>43</v>
      </c>
      <c r="Y18" s="74">
        <v>37</v>
      </c>
      <c r="Z18" s="74">
        <v>35</v>
      </c>
      <c r="AA18" s="74">
        <v>45</v>
      </c>
      <c r="AB18" s="68"/>
      <c r="AC18" s="69" t="s">
        <v>36</v>
      </c>
      <c r="AD18" s="72">
        <f>COUNTIFS(P16:AA23,"&gt;125",P16:AA23,"&lt;251")</f>
        <v>2</v>
      </c>
      <c r="AE18" s="70">
        <f>COUNTIFS(P18:AA25,"&gt;125",P18:AA25,"&lt;251",B18:M25,"=i")</f>
        <v>0</v>
      </c>
      <c r="AF18" s="71">
        <f>COUNTIFS(P18:AA25,"&gt;125",P18:AA25,"&lt;251",B18:M25,"=s")</f>
        <v>1</v>
      </c>
      <c r="AG18" s="48">
        <f>COUNTIFS(P18:AA25,"&gt;125",P18:AA25,"&lt;251",B18:M25,"=g")</f>
        <v>0</v>
      </c>
      <c r="AH18" s="57"/>
    </row>
    <row r="19" spans="1:34" ht="16">
      <c r="A19" s="63" t="s">
        <v>38</v>
      </c>
      <c r="B19" s="64" t="s">
        <v>17</v>
      </c>
      <c r="C19" s="64" t="s">
        <v>17</v>
      </c>
      <c r="D19" s="64" t="s">
        <v>17</v>
      </c>
      <c r="E19" s="64" t="s">
        <v>17</v>
      </c>
      <c r="F19" s="66" t="s">
        <v>17</v>
      </c>
      <c r="G19" s="66" t="s">
        <v>17</v>
      </c>
      <c r="H19" s="66" t="s">
        <v>18</v>
      </c>
      <c r="I19" s="66" t="s">
        <v>17</v>
      </c>
      <c r="J19" s="66" t="s">
        <v>17</v>
      </c>
      <c r="K19" s="66" t="s">
        <v>18</v>
      </c>
      <c r="L19" s="66" t="s">
        <v>18</v>
      </c>
      <c r="M19" s="66" t="s">
        <v>17</v>
      </c>
      <c r="N19" s="60"/>
      <c r="O19" s="23" t="s">
        <v>38</v>
      </c>
      <c r="P19" s="74">
        <v>47</v>
      </c>
      <c r="Q19" s="74">
        <v>46.5</v>
      </c>
      <c r="R19" s="74">
        <v>32</v>
      </c>
      <c r="S19" s="74">
        <v>39</v>
      </c>
      <c r="T19" s="74">
        <v>41</v>
      </c>
      <c r="U19" s="74">
        <v>43</v>
      </c>
      <c r="V19" s="74" t="s">
        <v>37</v>
      </c>
      <c r="W19" s="74" t="s">
        <v>37</v>
      </c>
      <c r="X19" s="74">
        <v>55</v>
      </c>
      <c r="Y19" s="74">
        <v>35</v>
      </c>
      <c r="Z19" s="74">
        <v>51</v>
      </c>
      <c r="AA19" s="74">
        <v>33</v>
      </c>
      <c r="AB19" s="68"/>
      <c r="AC19" s="69" t="s">
        <v>39</v>
      </c>
      <c r="AD19" s="72">
        <f>COUNTIFS(P16:AA23,"&gt;250",P16:AA23,"&lt;501")</f>
        <v>0</v>
      </c>
      <c r="AE19" s="70">
        <f>COUNTIFS(P19:AA26,"&gt;250",P19:AA26,"&lt;501",B19:M26,"=i")</f>
        <v>0</v>
      </c>
      <c r="AF19" s="71">
        <f>COUNTIFS(P19:AA26,"&gt;250",P19:AA26,"&lt;501",B19:M26,"=s")</f>
        <v>0</v>
      </c>
      <c r="AG19" s="48">
        <f>COUNTIFS(P19:AA26,"&gt;250",P19:AA26,"&lt;501",B19:M26,"=g")</f>
        <v>0</v>
      </c>
      <c r="AH19" s="57"/>
    </row>
    <row r="20" spans="1:34" ht="16">
      <c r="A20" s="63" t="s">
        <v>40</v>
      </c>
      <c r="B20" s="64" t="s">
        <v>17</v>
      </c>
      <c r="C20" s="65" t="s">
        <v>17</v>
      </c>
      <c r="D20" s="64" t="s">
        <v>17</v>
      </c>
      <c r="E20" s="64" t="s">
        <v>17</v>
      </c>
      <c r="F20" s="66" t="s">
        <v>17</v>
      </c>
      <c r="G20" s="66" t="s">
        <v>17</v>
      </c>
      <c r="H20" s="66" t="s">
        <v>17</v>
      </c>
      <c r="I20" s="66" t="s">
        <v>17</v>
      </c>
      <c r="J20" s="66" t="s">
        <v>18</v>
      </c>
      <c r="K20" s="66" t="s">
        <v>17</v>
      </c>
      <c r="L20" s="66" t="s">
        <v>17</v>
      </c>
      <c r="M20" s="66" t="s">
        <v>18</v>
      </c>
      <c r="N20" s="60"/>
      <c r="O20" s="23" t="s">
        <v>40</v>
      </c>
      <c r="P20" s="74">
        <v>49</v>
      </c>
      <c r="Q20" s="74">
        <v>64</v>
      </c>
      <c r="R20" s="74">
        <v>37</v>
      </c>
      <c r="S20" s="74">
        <v>35</v>
      </c>
      <c r="T20" s="74">
        <v>51</v>
      </c>
      <c r="U20" s="74">
        <v>42</v>
      </c>
      <c r="V20" s="74">
        <v>59</v>
      </c>
      <c r="W20" s="74">
        <v>41</v>
      </c>
      <c r="X20" s="74" t="s">
        <v>37</v>
      </c>
      <c r="Y20" s="74">
        <v>35</v>
      </c>
      <c r="Z20" s="74">
        <v>37</v>
      </c>
      <c r="AA20" s="74" t="s">
        <v>37</v>
      </c>
      <c r="AB20" s="68"/>
      <c r="AC20" s="69" t="s">
        <v>41</v>
      </c>
      <c r="AD20" s="72">
        <f>COUNTIF(P16:AA23,"&gt;500")</f>
        <v>0</v>
      </c>
      <c r="AE20" s="70">
        <f>COUNTIFS(P20:AA27,"&gt;500",B20:M27,"=i")</f>
        <v>0</v>
      </c>
      <c r="AF20" s="71">
        <f>COUNTIFS(P20:AA27,"&gt;500",B20:M27,"=s")</f>
        <v>0</v>
      </c>
      <c r="AG20" s="48">
        <f>COUNTIFS(P20:AA27,"&gt;500",B20:M27,"=g")</f>
        <v>0</v>
      </c>
      <c r="AH20" s="57"/>
    </row>
    <row r="21" spans="1:34" ht="16">
      <c r="A21" s="63" t="s">
        <v>42</v>
      </c>
      <c r="B21" s="64" t="s">
        <v>17</v>
      </c>
      <c r="C21" s="65" t="s">
        <v>17</v>
      </c>
      <c r="D21" s="64" t="s">
        <v>17</v>
      </c>
      <c r="E21" s="64" t="s">
        <v>35</v>
      </c>
      <c r="F21" s="66" t="s">
        <v>18</v>
      </c>
      <c r="G21" s="66" t="s">
        <v>18</v>
      </c>
      <c r="H21" s="66" t="s">
        <v>17</v>
      </c>
      <c r="I21" s="66" t="s">
        <v>18</v>
      </c>
      <c r="J21" s="66" t="s">
        <v>17</v>
      </c>
      <c r="K21" s="66" t="s">
        <v>18</v>
      </c>
      <c r="L21" s="66" t="s">
        <v>17</v>
      </c>
      <c r="M21" s="66" t="s">
        <v>17</v>
      </c>
      <c r="N21" s="60"/>
      <c r="O21" s="23" t="s">
        <v>42</v>
      </c>
      <c r="P21" s="74" t="s">
        <v>37</v>
      </c>
      <c r="Q21" s="74">
        <v>50</v>
      </c>
      <c r="R21" s="74">
        <v>35</v>
      </c>
      <c r="S21" s="74" t="s">
        <v>37</v>
      </c>
      <c r="T21" s="74">
        <v>60</v>
      </c>
      <c r="U21" s="74">
        <v>55</v>
      </c>
      <c r="V21" s="74" t="s">
        <v>37</v>
      </c>
      <c r="W21" s="74">
        <v>128</v>
      </c>
      <c r="X21" s="74" t="s">
        <v>37</v>
      </c>
      <c r="Y21" s="74">
        <v>44</v>
      </c>
      <c r="Z21" s="74">
        <v>38.5</v>
      </c>
      <c r="AA21" s="74">
        <v>43</v>
      </c>
      <c r="AB21" s="57"/>
      <c r="AC21" s="57"/>
      <c r="AD21" s="57"/>
      <c r="AE21" s="57"/>
      <c r="AF21" s="57"/>
      <c r="AG21" s="57"/>
      <c r="AH21" s="57"/>
    </row>
    <row r="22" spans="1:34" ht="16">
      <c r="A22" s="63" t="s">
        <v>43</v>
      </c>
      <c r="B22" s="64" t="s">
        <v>18</v>
      </c>
      <c r="C22" s="64" t="s">
        <v>17</v>
      </c>
      <c r="D22" s="64" t="s">
        <v>35</v>
      </c>
      <c r="E22" s="64" t="s">
        <v>35</v>
      </c>
      <c r="F22" s="66" t="s">
        <v>17</v>
      </c>
      <c r="G22" s="66" t="s">
        <v>18</v>
      </c>
      <c r="H22" s="66" t="s">
        <v>17</v>
      </c>
      <c r="I22" s="66" t="s">
        <v>17</v>
      </c>
      <c r="J22" s="66" t="s">
        <v>17</v>
      </c>
      <c r="K22" s="66" t="s">
        <v>17</v>
      </c>
      <c r="L22" s="66" t="s">
        <v>18</v>
      </c>
      <c r="M22" s="66" t="s">
        <v>18</v>
      </c>
      <c r="N22" s="60"/>
      <c r="O22" s="23" t="s">
        <v>43</v>
      </c>
      <c r="P22" s="74">
        <v>45</v>
      </c>
      <c r="Q22" s="74">
        <v>38</v>
      </c>
      <c r="R22" s="74" t="s">
        <v>37</v>
      </c>
      <c r="S22" s="74" t="s">
        <v>37</v>
      </c>
      <c r="T22" s="74" t="s">
        <v>37</v>
      </c>
      <c r="U22" s="74" t="s">
        <v>37</v>
      </c>
      <c r="V22" s="74" t="s">
        <v>37</v>
      </c>
      <c r="W22" s="74">
        <v>44</v>
      </c>
      <c r="X22" s="74" t="s">
        <v>37</v>
      </c>
      <c r="Y22" s="74">
        <v>33</v>
      </c>
      <c r="Z22" s="74">
        <v>53</v>
      </c>
      <c r="AA22" s="74">
        <v>82</v>
      </c>
      <c r="AB22" s="57"/>
      <c r="AC22" s="57"/>
      <c r="AD22" s="57"/>
      <c r="AE22" s="57"/>
      <c r="AF22" s="57"/>
      <c r="AG22" s="57"/>
      <c r="AH22" s="57"/>
    </row>
    <row r="23" spans="1:34" ht="16">
      <c r="A23" s="63" t="s">
        <v>47</v>
      </c>
      <c r="B23" s="64" t="s">
        <v>17</v>
      </c>
      <c r="C23" s="64">
        <v>2</v>
      </c>
      <c r="D23" s="64">
        <v>2</v>
      </c>
      <c r="E23" s="64" t="s">
        <v>35</v>
      </c>
      <c r="F23" s="66" t="s">
        <v>17</v>
      </c>
      <c r="G23" s="66" t="s">
        <v>18</v>
      </c>
      <c r="H23" s="66" t="s">
        <v>18</v>
      </c>
      <c r="I23" s="66" t="s">
        <v>17</v>
      </c>
      <c r="J23" s="66" t="s">
        <v>18</v>
      </c>
      <c r="K23" s="66" t="s">
        <v>17</v>
      </c>
      <c r="L23" s="66" t="s">
        <v>17</v>
      </c>
      <c r="M23" s="66" t="s">
        <v>17</v>
      </c>
      <c r="N23" s="60"/>
      <c r="O23" s="23" t="s">
        <v>47</v>
      </c>
      <c r="P23" s="74">
        <v>40</v>
      </c>
      <c r="Q23" s="74">
        <v>38</v>
      </c>
      <c r="R23" s="74">
        <v>34</v>
      </c>
      <c r="S23" s="74" t="s">
        <v>37</v>
      </c>
      <c r="T23" s="74">
        <v>32</v>
      </c>
      <c r="U23" s="74">
        <v>17</v>
      </c>
      <c r="V23" s="74">
        <v>55</v>
      </c>
      <c r="W23" s="74">
        <v>40</v>
      </c>
      <c r="X23" s="74">
        <v>45</v>
      </c>
      <c r="Y23" s="74">
        <v>47</v>
      </c>
      <c r="Z23" s="74">
        <v>35</v>
      </c>
      <c r="AA23" s="74" t="s">
        <v>37</v>
      </c>
      <c r="AB23" s="57"/>
      <c r="AC23" s="57"/>
      <c r="AD23" s="57"/>
      <c r="AE23" s="57"/>
      <c r="AF23" s="57"/>
      <c r="AG23" s="57"/>
      <c r="AH23" s="57"/>
    </row>
    <row r="24" spans="1:34" ht="16">
      <c r="C24" s="29" t="s">
        <v>104</v>
      </c>
      <c r="D24" s="29" t="s">
        <v>105</v>
      </c>
      <c r="Q24" s="29">
        <v>26</v>
      </c>
      <c r="R24" s="29">
        <v>70</v>
      </c>
    </row>
    <row r="25" spans="1:34" ht="16">
      <c r="B25">
        <v>4</v>
      </c>
      <c r="C25">
        <v>5</v>
      </c>
      <c r="D25">
        <v>4</v>
      </c>
      <c r="E25">
        <v>5</v>
      </c>
      <c r="F25">
        <v>7</v>
      </c>
      <c r="G25">
        <v>5</v>
      </c>
      <c r="H25">
        <v>4</v>
      </c>
      <c r="I25">
        <v>6</v>
      </c>
      <c r="J25">
        <v>5</v>
      </c>
      <c r="K25">
        <v>6</v>
      </c>
      <c r="L25">
        <v>4</v>
      </c>
      <c r="M25">
        <v>6</v>
      </c>
      <c r="T25" s="29"/>
    </row>
    <row r="26" spans="1:34" ht="15" customHeight="1">
      <c r="B26" s="192">
        <f>(4+5+4+5+7+5+4+6+5+6+4+6)/96</f>
        <v>0.63541666666666663</v>
      </c>
    </row>
    <row r="27" spans="1:34" ht="16">
      <c r="A27" s="54">
        <v>6.5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0"/>
      <c r="O27" s="75" t="s">
        <v>106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  <c r="AF27" s="57"/>
      <c r="AG27" s="57"/>
      <c r="AH27" s="57"/>
    </row>
    <row r="28" spans="1:34" ht="16">
      <c r="A28" s="58" t="s">
        <v>3</v>
      </c>
      <c r="B28" s="59">
        <v>1</v>
      </c>
      <c r="C28" s="59">
        <v>2</v>
      </c>
      <c r="D28" s="59">
        <v>3</v>
      </c>
      <c r="E28" s="59">
        <v>4</v>
      </c>
      <c r="F28" s="59">
        <v>5</v>
      </c>
      <c r="G28" s="59">
        <v>6</v>
      </c>
      <c r="H28" s="59">
        <v>7</v>
      </c>
      <c r="I28" s="59">
        <v>8</v>
      </c>
      <c r="J28" s="59">
        <v>9</v>
      </c>
      <c r="K28" s="59">
        <v>10</v>
      </c>
      <c r="L28" s="59">
        <v>11</v>
      </c>
      <c r="M28" s="59">
        <v>12</v>
      </c>
      <c r="N28" s="60"/>
      <c r="O28" s="61" t="s">
        <v>8</v>
      </c>
      <c r="P28" s="59">
        <v>1</v>
      </c>
      <c r="Q28" s="59">
        <v>2</v>
      </c>
      <c r="R28" s="59">
        <v>3</v>
      </c>
      <c r="S28" s="59">
        <v>4</v>
      </c>
      <c r="T28" s="59">
        <v>5</v>
      </c>
      <c r="U28" s="59">
        <v>6</v>
      </c>
      <c r="V28" s="59">
        <v>7</v>
      </c>
      <c r="W28" s="59">
        <v>8</v>
      </c>
      <c r="X28" s="59">
        <v>9</v>
      </c>
      <c r="Y28" s="59">
        <v>10</v>
      </c>
      <c r="Z28" s="59">
        <v>11</v>
      </c>
      <c r="AA28" s="59">
        <v>12</v>
      </c>
      <c r="AB28" s="60"/>
      <c r="AC28" s="76" t="s">
        <v>9</v>
      </c>
      <c r="AD28" s="12" t="s">
        <v>10</v>
      </c>
      <c r="AE28" s="14" t="s">
        <v>11</v>
      </c>
      <c r="AF28" s="14" t="s">
        <v>12</v>
      </c>
      <c r="AG28" s="14" t="s">
        <v>13</v>
      </c>
      <c r="AH28" s="62"/>
    </row>
    <row r="29" spans="1:34" ht="16">
      <c r="A29" s="63" t="s">
        <v>14</v>
      </c>
      <c r="B29" s="64" t="s">
        <v>17</v>
      </c>
      <c r="C29" s="64" t="s">
        <v>18</v>
      </c>
      <c r="D29" s="65" t="s">
        <v>18</v>
      </c>
      <c r="E29" s="64" t="s">
        <v>18</v>
      </c>
      <c r="F29" s="64" t="s">
        <v>17</v>
      </c>
      <c r="G29" s="66" t="s">
        <v>18</v>
      </c>
      <c r="H29" s="66" t="s">
        <v>17</v>
      </c>
      <c r="I29" s="66" t="s">
        <v>18</v>
      </c>
      <c r="J29" s="66" t="s">
        <v>18</v>
      </c>
      <c r="K29" s="66" t="s">
        <v>18</v>
      </c>
      <c r="L29" s="66" t="s">
        <v>18</v>
      </c>
      <c r="M29" s="66" t="s">
        <v>17</v>
      </c>
      <c r="N29" s="60"/>
      <c r="O29" s="23" t="s">
        <v>14</v>
      </c>
      <c r="P29" s="74">
        <v>23</v>
      </c>
      <c r="Q29" s="74">
        <v>38</v>
      </c>
      <c r="R29" s="74">
        <v>35</v>
      </c>
      <c r="S29" s="74">
        <v>47</v>
      </c>
      <c r="T29" s="74">
        <v>36</v>
      </c>
      <c r="U29" s="74">
        <v>13</v>
      </c>
      <c r="V29" s="74">
        <v>47</v>
      </c>
      <c r="W29" s="206" t="s">
        <v>37</v>
      </c>
      <c r="X29" s="74">
        <v>50</v>
      </c>
      <c r="Y29" s="206" t="s">
        <v>37</v>
      </c>
      <c r="Z29" s="74">
        <v>57</v>
      </c>
      <c r="AA29" s="74">
        <v>41</v>
      </c>
      <c r="AB29" s="68"/>
      <c r="AC29" s="69" t="s">
        <v>21</v>
      </c>
      <c r="AD29" s="26">
        <f>COUNTIFS(P29:AA36,"&gt;0",P29:AA36,"&lt;51")</f>
        <v>49</v>
      </c>
      <c r="AE29" s="70">
        <f>COUNTIFS(P29:AA36,"&gt;0",P29:AA36,"&lt;51",B29:M36,"=i")</f>
        <v>34</v>
      </c>
      <c r="AF29" s="71">
        <f>COUNTIFS(P29:AA36,"&gt;0",P29:AA36,"&lt;51",B29:M36,"=s")</f>
        <v>15</v>
      </c>
      <c r="AG29" s="48">
        <f>COUNTIFS(P29:AA36,"&gt;0",P29:AA36,"&lt;51",B29:M36,"=g")</f>
        <v>0</v>
      </c>
      <c r="AH29" s="57"/>
    </row>
    <row r="30" spans="1:34" ht="16">
      <c r="A30" s="63" t="s">
        <v>32</v>
      </c>
      <c r="B30" s="64" t="s">
        <v>17</v>
      </c>
      <c r="C30" s="64" t="s">
        <v>18</v>
      </c>
      <c r="D30" s="64" t="s">
        <v>18</v>
      </c>
      <c r="E30" s="64" t="s">
        <v>18</v>
      </c>
      <c r="F30" s="66" t="s">
        <v>18</v>
      </c>
      <c r="G30" s="66" t="s">
        <v>17</v>
      </c>
      <c r="H30" s="66" t="s">
        <v>18</v>
      </c>
      <c r="I30" s="66" t="s">
        <v>17</v>
      </c>
      <c r="J30" s="66" t="s">
        <v>17</v>
      </c>
      <c r="K30" s="66" t="s">
        <v>17</v>
      </c>
      <c r="L30" s="66" t="s">
        <v>18</v>
      </c>
      <c r="M30" s="66" t="s">
        <v>17</v>
      </c>
      <c r="N30" s="60"/>
      <c r="O30" s="23" t="s">
        <v>32</v>
      </c>
      <c r="P30" s="74">
        <v>33</v>
      </c>
      <c r="Q30" s="74" t="s">
        <v>37</v>
      </c>
      <c r="R30" s="74" t="s">
        <v>37</v>
      </c>
      <c r="S30" s="74" t="s">
        <v>37</v>
      </c>
      <c r="T30" s="74">
        <v>50</v>
      </c>
      <c r="U30" s="74">
        <v>34</v>
      </c>
      <c r="V30" s="74">
        <v>54</v>
      </c>
      <c r="W30" s="206" t="s">
        <v>37</v>
      </c>
      <c r="X30" s="74">
        <v>50</v>
      </c>
      <c r="Y30" s="74">
        <v>63</v>
      </c>
      <c r="Z30" s="74">
        <v>77</v>
      </c>
      <c r="AA30" s="74">
        <v>35</v>
      </c>
      <c r="AB30" s="68"/>
      <c r="AC30" s="69" t="s">
        <v>33</v>
      </c>
      <c r="AD30" s="72">
        <f>COUNTIFS(P29:AA36,"&gt;50",P29:AA36,"&lt;126")</f>
        <v>18</v>
      </c>
      <c r="AE30" s="70">
        <f>COUNTIFS(P30:AA37,"&gt;50",P30:AA37,"&lt;126",B30:M37,"=i")</f>
        <v>9</v>
      </c>
      <c r="AF30" s="71">
        <f>COUNTIFS(P30:AA37,"&gt;50",P30:AA37,"&lt;126",B30:M37,"=s")</f>
        <v>8</v>
      </c>
      <c r="AG30" s="48">
        <f>COUNTIFS(P30:AA37,"&gt;50",P30:AA37,"&lt;126",B30:M37,"=g")</f>
        <v>0</v>
      </c>
      <c r="AH30" s="57"/>
    </row>
    <row r="31" spans="1:34" ht="16">
      <c r="A31" s="63" t="s">
        <v>34</v>
      </c>
      <c r="B31" s="64" t="s">
        <v>17</v>
      </c>
      <c r="C31" s="64" t="s">
        <v>17</v>
      </c>
      <c r="D31" s="64" t="s">
        <v>18</v>
      </c>
      <c r="E31" s="64" t="s">
        <v>17</v>
      </c>
      <c r="F31" s="66" t="s">
        <v>17</v>
      </c>
      <c r="G31" s="66" t="s">
        <v>18</v>
      </c>
      <c r="H31" s="66" t="s">
        <v>17</v>
      </c>
      <c r="I31" s="66" t="s">
        <v>18</v>
      </c>
      <c r="J31" s="66" t="s">
        <v>17</v>
      </c>
      <c r="K31" s="66" t="s">
        <v>17</v>
      </c>
      <c r="L31" s="66" t="s">
        <v>17</v>
      </c>
      <c r="M31" s="66" t="s">
        <v>17</v>
      </c>
      <c r="N31" s="60"/>
      <c r="O31" s="23" t="s">
        <v>34</v>
      </c>
      <c r="P31" s="74" t="s">
        <v>37</v>
      </c>
      <c r="Q31" s="74">
        <v>36</v>
      </c>
      <c r="R31" s="74">
        <v>54</v>
      </c>
      <c r="S31" s="74">
        <v>54</v>
      </c>
      <c r="T31" s="74" t="s">
        <v>37</v>
      </c>
      <c r="U31" s="74">
        <v>44</v>
      </c>
      <c r="V31" s="74">
        <v>50</v>
      </c>
      <c r="W31" s="206" t="s">
        <v>37</v>
      </c>
      <c r="X31" s="74">
        <v>48</v>
      </c>
      <c r="Y31" s="206" t="s">
        <v>37</v>
      </c>
      <c r="Z31" s="206" t="s">
        <v>37</v>
      </c>
      <c r="AA31" s="74">
        <v>45</v>
      </c>
      <c r="AB31" s="68"/>
      <c r="AC31" s="69" t="s">
        <v>36</v>
      </c>
      <c r="AD31" s="72">
        <f>COUNTIFS(P29:AA36,"&gt;125",P29:AA36,"&lt;251")</f>
        <v>1</v>
      </c>
      <c r="AE31" s="70">
        <f>COUNTIFS(P31:AA38,"&gt;125",P31:AA38,"&lt;251",B31:M38,"=i")</f>
        <v>0</v>
      </c>
      <c r="AF31" s="71">
        <f>COUNTIFS(P31:AA38,"&gt;125",P31:AA38,"&lt;251",B31:M38,"=s")</f>
        <v>1</v>
      </c>
      <c r="AG31" s="48">
        <f>COUNTIFS(P31:AA38,"&gt;125",P31:AA38,"&lt;251",B31:M38,"=g")</f>
        <v>0</v>
      </c>
      <c r="AH31" s="57"/>
    </row>
    <row r="32" spans="1:34" ht="16">
      <c r="A32" s="63" t="s">
        <v>38</v>
      </c>
      <c r="B32" s="64" t="s">
        <v>17</v>
      </c>
      <c r="C32" s="64" t="s">
        <v>17</v>
      </c>
      <c r="D32" s="64" t="s">
        <v>18</v>
      </c>
      <c r="E32" s="64" t="s">
        <v>18</v>
      </c>
      <c r="F32" s="66" t="s">
        <v>18</v>
      </c>
      <c r="G32" s="66" t="s">
        <v>17</v>
      </c>
      <c r="H32" s="66" t="s">
        <v>18</v>
      </c>
      <c r="I32" s="66" t="s">
        <v>17</v>
      </c>
      <c r="J32" s="66" t="s">
        <v>17</v>
      </c>
      <c r="K32" s="66" t="s">
        <v>17</v>
      </c>
      <c r="L32" s="66" t="s">
        <v>17</v>
      </c>
      <c r="M32" s="66" t="s">
        <v>18</v>
      </c>
      <c r="N32" s="60"/>
      <c r="O32" s="23" t="s">
        <v>38</v>
      </c>
      <c r="P32" s="74" t="s">
        <v>37</v>
      </c>
      <c r="Q32" s="74" t="s">
        <v>37</v>
      </c>
      <c r="R32" s="74" t="s">
        <v>37</v>
      </c>
      <c r="S32" s="74">
        <v>61</v>
      </c>
      <c r="T32" s="74" t="s">
        <v>37</v>
      </c>
      <c r="U32" s="74">
        <v>52</v>
      </c>
      <c r="V32" s="74">
        <v>57</v>
      </c>
      <c r="W32" s="74">
        <v>56</v>
      </c>
      <c r="X32" s="74">
        <v>34</v>
      </c>
      <c r="Y32" s="74">
        <v>53</v>
      </c>
      <c r="Z32" s="74">
        <v>42</v>
      </c>
      <c r="AA32" s="74">
        <v>44</v>
      </c>
      <c r="AB32" s="68"/>
      <c r="AC32" s="69" t="s">
        <v>39</v>
      </c>
      <c r="AD32" s="72">
        <f>COUNTIFS(P29:AA36,"&gt;250",P29:AA36,"&lt;501")</f>
        <v>0</v>
      </c>
      <c r="AE32" s="70">
        <f>COUNTIFS(P32:AA39,"&gt;250",P32:AA39,"&lt;501",B32:M39,"=i")</f>
        <v>0</v>
      </c>
      <c r="AF32" s="71">
        <f>COUNTIFS(P32:AA39,"&gt;250",P32:AA39,"&lt;501",B32:M39,"=s")</f>
        <v>0</v>
      </c>
      <c r="AG32" s="48">
        <f>COUNTIFS(P32:AA39,"&gt;250",P32:AA39,"&lt;501",B32:M39,"=g")</f>
        <v>0</v>
      </c>
      <c r="AH32" s="57"/>
    </row>
    <row r="33" spans="1:34" ht="16">
      <c r="A33" s="63" t="s">
        <v>40</v>
      </c>
      <c r="B33" s="64" t="s">
        <v>17</v>
      </c>
      <c r="C33" s="65" t="s">
        <v>17</v>
      </c>
      <c r="D33" s="64" t="s">
        <v>17</v>
      </c>
      <c r="E33" s="64" t="s">
        <v>17</v>
      </c>
      <c r="F33" s="66" t="s">
        <v>17</v>
      </c>
      <c r="G33" s="66" t="s">
        <v>17</v>
      </c>
      <c r="H33" s="66" t="s">
        <v>17</v>
      </c>
      <c r="I33" s="66" t="s">
        <v>17</v>
      </c>
      <c r="J33" s="66" t="s">
        <v>17</v>
      </c>
      <c r="K33" s="66" t="s">
        <v>17</v>
      </c>
      <c r="L33" s="66" t="s">
        <v>17</v>
      </c>
      <c r="M33" s="66" t="s">
        <v>18</v>
      </c>
      <c r="N33" s="60"/>
      <c r="O33" s="23" t="s">
        <v>40</v>
      </c>
      <c r="P33" s="74">
        <v>26</v>
      </c>
      <c r="Q33" s="74" t="s">
        <v>37</v>
      </c>
      <c r="R33" s="74">
        <v>43</v>
      </c>
      <c r="S33" s="74">
        <v>16</v>
      </c>
      <c r="T33" s="74" t="s">
        <v>37</v>
      </c>
      <c r="U33" s="74">
        <v>43</v>
      </c>
      <c r="V33" s="206" t="s">
        <v>37</v>
      </c>
      <c r="W33" s="74">
        <v>36</v>
      </c>
      <c r="X33" s="74">
        <v>49</v>
      </c>
      <c r="Y33" s="74">
        <v>46</v>
      </c>
      <c r="Z33" s="74">
        <v>39</v>
      </c>
      <c r="AA33" s="74">
        <v>55</v>
      </c>
      <c r="AB33" s="68"/>
      <c r="AC33" s="69" t="s">
        <v>41</v>
      </c>
      <c r="AD33" s="72">
        <f>COUNTIF(P29:AA36,"&gt;500")</f>
        <v>0</v>
      </c>
      <c r="AE33" s="70">
        <f>COUNTIFS(P33:AA40,"&gt;500",B33:M40,"=i")</f>
        <v>0</v>
      </c>
      <c r="AF33" s="71">
        <f>COUNTIFS(P33:AA40,"&gt;500",B33:M40,"=s")</f>
        <v>0</v>
      </c>
      <c r="AG33" s="48">
        <f>COUNTIFS(P33:AA40,"&gt;500",B33:M40,"=g")</f>
        <v>0</v>
      </c>
      <c r="AH33" s="57"/>
    </row>
    <row r="34" spans="1:34" ht="16">
      <c r="A34" s="63" t="s">
        <v>42</v>
      </c>
      <c r="B34" s="64" t="s">
        <v>17</v>
      </c>
      <c r="C34" s="65" t="s">
        <v>17</v>
      </c>
      <c r="D34" s="64" t="s">
        <v>17</v>
      </c>
      <c r="E34" s="64" t="s">
        <v>18</v>
      </c>
      <c r="F34" s="66" t="s">
        <v>18</v>
      </c>
      <c r="G34" s="66" t="s">
        <v>18</v>
      </c>
      <c r="H34" s="66" t="s">
        <v>18</v>
      </c>
      <c r="I34" s="66" t="s">
        <v>17</v>
      </c>
      <c r="J34" s="66" t="s">
        <v>18</v>
      </c>
      <c r="K34" s="66" t="s">
        <v>18</v>
      </c>
      <c r="L34" s="66" t="s">
        <v>17</v>
      </c>
      <c r="M34" s="66" t="s">
        <v>17</v>
      </c>
      <c r="N34" s="60"/>
      <c r="O34" s="23" t="s">
        <v>42</v>
      </c>
      <c r="P34" s="74">
        <v>46</v>
      </c>
      <c r="Q34" s="74" t="s">
        <v>37</v>
      </c>
      <c r="R34" s="74">
        <v>39</v>
      </c>
      <c r="S34" s="74">
        <v>35</v>
      </c>
      <c r="T34" s="74">
        <v>35</v>
      </c>
      <c r="U34" s="74" t="s">
        <v>37</v>
      </c>
      <c r="V34" s="74">
        <v>87</v>
      </c>
      <c r="W34" s="74">
        <v>46</v>
      </c>
      <c r="X34" s="206" t="s">
        <v>37</v>
      </c>
      <c r="Y34" s="74">
        <v>49</v>
      </c>
      <c r="Z34" s="74">
        <v>77</v>
      </c>
      <c r="AA34" s="74">
        <v>51</v>
      </c>
      <c r="AB34" s="57"/>
      <c r="AC34" s="57"/>
      <c r="AD34" s="57"/>
      <c r="AE34" s="57"/>
      <c r="AF34" s="57"/>
      <c r="AG34" s="57"/>
      <c r="AH34" s="57"/>
    </row>
    <row r="35" spans="1:34" ht="16">
      <c r="A35" s="63" t="s">
        <v>43</v>
      </c>
      <c r="B35" s="64" t="s">
        <v>17</v>
      </c>
      <c r="C35" s="64" t="s">
        <v>17</v>
      </c>
      <c r="D35" s="64" t="s">
        <v>18</v>
      </c>
      <c r="E35" s="64" t="s">
        <v>17</v>
      </c>
      <c r="F35" s="66" t="s">
        <v>17</v>
      </c>
      <c r="G35" s="66" t="s">
        <v>18</v>
      </c>
      <c r="H35" s="66" t="s">
        <v>18</v>
      </c>
      <c r="I35" s="66" t="s">
        <v>17</v>
      </c>
      <c r="J35" s="66" t="s">
        <v>18</v>
      </c>
      <c r="K35" s="66" t="s">
        <v>17</v>
      </c>
      <c r="L35" s="66" t="s">
        <v>17</v>
      </c>
      <c r="M35" s="66" t="s">
        <v>17</v>
      </c>
      <c r="N35" s="60"/>
      <c r="O35" s="23" t="s">
        <v>43</v>
      </c>
      <c r="P35" s="74" t="s">
        <v>37</v>
      </c>
      <c r="Q35" s="74">
        <v>32</v>
      </c>
      <c r="R35" s="74">
        <v>35</v>
      </c>
      <c r="S35" s="74" t="s">
        <v>37</v>
      </c>
      <c r="T35" s="74">
        <v>44</v>
      </c>
      <c r="U35" s="74">
        <v>20</v>
      </c>
      <c r="V35" s="206" t="s">
        <v>37</v>
      </c>
      <c r="W35" s="74">
        <v>43</v>
      </c>
      <c r="X35" s="74">
        <v>53</v>
      </c>
      <c r="Y35" s="74">
        <v>61</v>
      </c>
      <c r="Z35" s="74">
        <v>63</v>
      </c>
      <c r="AA35" s="206" t="s">
        <v>37</v>
      </c>
      <c r="AB35" s="57"/>
      <c r="AC35" s="57"/>
      <c r="AD35" s="57"/>
      <c r="AE35" s="57"/>
      <c r="AF35" s="57"/>
      <c r="AG35" s="57"/>
      <c r="AH35" s="57"/>
    </row>
    <row r="36" spans="1:34" ht="16">
      <c r="A36" s="63" t="s">
        <v>47</v>
      </c>
      <c r="B36" s="64" t="s">
        <v>18</v>
      </c>
      <c r="C36" s="64" t="s">
        <v>18</v>
      </c>
      <c r="D36" s="64" t="s">
        <v>18</v>
      </c>
      <c r="E36" s="64" t="s">
        <v>17</v>
      </c>
      <c r="F36" s="66" t="s">
        <v>17</v>
      </c>
      <c r="G36" s="66" t="s">
        <v>17</v>
      </c>
      <c r="H36" s="66" t="s">
        <v>17</v>
      </c>
      <c r="I36" s="66" t="s">
        <v>17</v>
      </c>
      <c r="J36" s="66" t="s">
        <v>17</v>
      </c>
      <c r="K36" s="66" t="s">
        <v>17</v>
      </c>
      <c r="L36" s="66" t="s">
        <v>18</v>
      </c>
      <c r="M36" s="66" t="s">
        <v>17</v>
      </c>
      <c r="N36" s="60"/>
      <c r="O36" s="23" t="s">
        <v>47</v>
      </c>
      <c r="P36" s="74">
        <v>44</v>
      </c>
      <c r="Q36" s="74">
        <v>44</v>
      </c>
      <c r="R36" s="74" t="s">
        <v>37</v>
      </c>
      <c r="S36" s="74">
        <v>40</v>
      </c>
      <c r="T36" s="74">
        <v>38</v>
      </c>
      <c r="U36" s="74">
        <v>40</v>
      </c>
      <c r="V36" s="206" t="s">
        <v>37</v>
      </c>
      <c r="W36" s="206" t="s">
        <v>37</v>
      </c>
      <c r="X36" s="74">
        <v>45</v>
      </c>
      <c r="Y36" s="74">
        <v>46</v>
      </c>
      <c r="Z36" s="74">
        <v>199</v>
      </c>
      <c r="AA36" s="74">
        <v>47</v>
      </c>
      <c r="AB36" s="57"/>
      <c r="AC36" s="81" t="s">
        <v>48</v>
      </c>
      <c r="AD36">
        <f>7+(SUM(AD3:AD7,AD16:AD20,AD29:AD33))</f>
        <v>217</v>
      </c>
      <c r="AE36" s="57"/>
      <c r="AF36" s="57"/>
      <c r="AG36" s="57"/>
      <c r="AH36" s="57"/>
    </row>
    <row r="37" spans="1:34" ht="15" customHeight="1">
      <c r="A37">
        <v>8</v>
      </c>
      <c r="B37">
        <v>7</v>
      </c>
      <c r="C37">
        <v>5</v>
      </c>
      <c r="D37">
        <v>2</v>
      </c>
      <c r="E37">
        <v>4</v>
      </c>
      <c r="F37">
        <v>5</v>
      </c>
      <c r="G37">
        <v>4</v>
      </c>
      <c r="H37">
        <v>4</v>
      </c>
      <c r="I37">
        <v>6</v>
      </c>
      <c r="J37">
        <v>5</v>
      </c>
      <c r="K37">
        <v>6</v>
      </c>
      <c r="L37">
        <v>5</v>
      </c>
      <c r="M37">
        <v>6</v>
      </c>
    </row>
    <row r="38" spans="1:34" ht="16">
      <c r="S38" s="29"/>
    </row>
    <row r="39" spans="1:34" ht="15" customHeight="1">
      <c r="A39" s="203" t="s">
        <v>705</v>
      </c>
    </row>
  </sheetData>
  <conditionalFormatting sqref="B16:M23 B3:M10">
    <cfRule type="endsWith" dxfId="51" priority="1" operator="endsWith" text="SEM">
      <formula>RIGHT((B3),LEN("SEM"))=("SEM")</formula>
    </cfRule>
  </conditionalFormatting>
  <conditionalFormatting sqref="P3:AA10 P16:AA23 P29:AA36">
    <cfRule type="cellIs" dxfId="50" priority="2" operator="equal">
      <formula>"u"</formula>
    </cfRule>
  </conditionalFormatting>
  <conditionalFormatting sqref="P3:AA10 P16:AA23 P29:AA36">
    <cfRule type="cellIs" dxfId="49" priority="3" operator="equal">
      <formula>"N"</formula>
    </cfRule>
  </conditionalFormatting>
  <conditionalFormatting sqref="P3:AA10 P16:AA23 P29:AA36">
    <cfRule type="cellIs" dxfId="48" priority="4" operator="equal">
      <formula>"?"</formula>
    </cfRule>
  </conditionalFormatting>
  <conditionalFormatting sqref="P3:AA10 P16:AA23 P29:AA36">
    <cfRule type="cellIs" dxfId="47" priority="5" operator="equal">
      <formula>"X"</formula>
    </cfRule>
  </conditionalFormatting>
  <conditionalFormatting sqref="P3:AA10 P16:AA23 P29:AA36">
    <cfRule type="cellIs" dxfId="46" priority="6" operator="equal">
      <formula>0</formula>
    </cfRule>
  </conditionalFormatting>
  <conditionalFormatting sqref="B16:M23 B29:M36 B3:M10">
    <cfRule type="endsWith" dxfId="45" priority="7" operator="endsWith" text="?">
      <formula>RIGHT((B3),LEN("?"))=("?")</formula>
    </cfRule>
  </conditionalFormatting>
  <conditionalFormatting sqref="P3:AA10 B16:M23 P16:AA23 B29:M36 P29:AA36 B3:M10">
    <cfRule type="notContainsBlanks" dxfId="44" priority="8">
      <formula>LEN(TRIM(B3))&gt;0</formula>
    </cfRule>
  </conditionalFormatting>
  <conditionalFormatting sqref="B16:M23 B29:M36 B3:M10">
    <cfRule type="containsBlanks" dxfId="43" priority="9">
      <formula>LEN(TRIM(B3))=0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J104"/>
  <sheetViews>
    <sheetView topLeftCell="A69" workbookViewId="0">
      <selection activeCell="E108" sqref="E108"/>
    </sheetView>
  </sheetViews>
  <sheetFormatPr baseColWidth="10" defaultColWidth="11.1640625" defaultRowHeight="15" customHeight="1"/>
  <cols>
    <col min="1" max="13" width="5.6640625" customWidth="1"/>
    <col min="15" max="27" width="7" customWidth="1"/>
  </cols>
  <sheetData>
    <row r="1" spans="1:34">
      <c r="A1" s="2" t="s">
        <v>1</v>
      </c>
      <c r="B1" s="2" t="s">
        <v>107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107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18</v>
      </c>
      <c r="C3" s="20" t="s">
        <v>17</v>
      </c>
      <c r="D3" s="21" t="s">
        <v>53</v>
      </c>
      <c r="E3" s="18" t="s">
        <v>17</v>
      </c>
      <c r="F3" s="18" t="s">
        <v>18</v>
      </c>
      <c r="G3" s="18" t="s">
        <v>17</v>
      </c>
      <c r="H3" s="18" t="s">
        <v>17</v>
      </c>
      <c r="I3" s="21" t="s">
        <v>17</v>
      </c>
      <c r="J3" s="21" t="s">
        <v>17</v>
      </c>
      <c r="K3" s="21" t="s">
        <v>17</v>
      </c>
      <c r="L3" s="21" t="s">
        <v>17</v>
      </c>
      <c r="M3" s="21" t="s">
        <v>17</v>
      </c>
      <c r="N3" s="6"/>
      <c r="O3" s="23" t="s">
        <v>14</v>
      </c>
      <c r="P3" s="18">
        <v>174</v>
      </c>
      <c r="Q3" s="18">
        <v>180</v>
      </c>
      <c r="R3" s="18">
        <v>140</v>
      </c>
      <c r="S3" s="18">
        <v>92</v>
      </c>
      <c r="T3" s="18">
        <v>207</v>
      </c>
      <c r="U3" s="18">
        <v>167</v>
      </c>
      <c r="V3" s="18">
        <v>93</v>
      </c>
      <c r="W3" s="18">
        <v>151</v>
      </c>
      <c r="X3" s="18">
        <v>95</v>
      </c>
      <c r="Y3" s="18">
        <v>117</v>
      </c>
      <c r="Z3" s="18">
        <v>144</v>
      </c>
      <c r="AA3" s="18" t="s">
        <v>37</v>
      </c>
      <c r="AB3" s="10"/>
      <c r="AC3" s="25" t="s">
        <v>21</v>
      </c>
      <c r="AD3" s="26">
        <f>COUNTIFS(P3:AA10,"&gt;0",P3:AA10,"&lt;51")</f>
        <v>1</v>
      </c>
      <c r="AE3" s="27">
        <f>COUNTIFS(P3:AA10,"&gt;0",P3:AA10,"&lt;51",B3:M10,"=i")</f>
        <v>1</v>
      </c>
      <c r="AF3" s="28">
        <f>COUNTIFS(P3:AA10,"&gt;0",P3:AA10,"&lt;51",B3:M10,"=s")</f>
        <v>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18</v>
      </c>
      <c r="C4" s="18" t="s">
        <v>18</v>
      </c>
      <c r="D4" s="18" t="s">
        <v>17</v>
      </c>
      <c r="E4" s="18" t="s">
        <v>17</v>
      </c>
      <c r="F4" s="18" t="s">
        <v>18</v>
      </c>
      <c r="G4" s="18" t="s">
        <v>17</v>
      </c>
      <c r="H4" s="18" t="s">
        <v>17</v>
      </c>
      <c r="I4" s="21" t="s">
        <v>53</v>
      </c>
      <c r="J4" s="21" t="s">
        <v>17</v>
      </c>
      <c r="K4" s="21" t="s">
        <v>17</v>
      </c>
      <c r="L4" s="21" t="s">
        <v>17</v>
      </c>
      <c r="M4" s="21" t="s">
        <v>18</v>
      </c>
      <c r="N4" s="6"/>
      <c r="O4" s="23" t="s">
        <v>32</v>
      </c>
      <c r="P4" s="18" t="s">
        <v>37</v>
      </c>
      <c r="Q4" s="18">
        <v>178</v>
      </c>
      <c r="R4" s="18">
        <v>163</v>
      </c>
      <c r="S4" s="18">
        <v>113</v>
      </c>
      <c r="T4" s="18">
        <v>166</v>
      </c>
      <c r="U4" s="18" t="s">
        <v>37</v>
      </c>
      <c r="V4" s="18" t="s">
        <v>37</v>
      </c>
      <c r="W4" s="18">
        <v>231</v>
      </c>
      <c r="X4" s="18">
        <v>147</v>
      </c>
      <c r="Y4" s="18">
        <v>65</v>
      </c>
      <c r="Z4" s="18">
        <v>19</v>
      </c>
      <c r="AA4" s="18">
        <v>187</v>
      </c>
      <c r="AB4" s="10"/>
      <c r="AC4" s="25" t="s">
        <v>33</v>
      </c>
      <c r="AD4" s="31">
        <f>COUNTIFS(P3:AA10,"&gt;50",P3:AA10,"&lt;126")</f>
        <v>17</v>
      </c>
      <c r="AE4" s="27">
        <f>COUNTIFS(P4:AA11,"&gt;50",P4:AA11,"&lt;126",B4:M11,"=i")</f>
        <v>10</v>
      </c>
      <c r="AF4" s="28">
        <f>COUNTIFS(P4:AA11,"&gt;50",P4:AA11,"&lt;126",B4:M11,"=s")</f>
        <v>3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18</v>
      </c>
      <c r="C5" s="18" t="s">
        <v>17</v>
      </c>
      <c r="D5" s="18" t="s">
        <v>17</v>
      </c>
      <c r="E5" s="18" t="s">
        <v>17</v>
      </c>
      <c r="F5" s="18" t="s">
        <v>17</v>
      </c>
      <c r="G5" s="18" t="s">
        <v>17</v>
      </c>
      <c r="H5" s="18" t="s">
        <v>18</v>
      </c>
      <c r="I5" s="21" t="s">
        <v>18</v>
      </c>
      <c r="J5" s="21" t="s">
        <v>17</v>
      </c>
      <c r="K5" s="21" t="s">
        <v>17</v>
      </c>
      <c r="L5" s="21" t="s">
        <v>17</v>
      </c>
      <c r="M5" s="21" t="s">
        <v>53</v>
      </c>
      <c r="N5" s="6"/>
      <c r="O5" s="23" t="s">
        <v>34</v>
      </c>
      <c r="P5" s="18">
        <v>143</v>
      </c>
      <c r="Q5" s="18">
        <v>80</v>
      </c>
      <c r="R5" s="18">
        <v>212</v>
      </c>
      <c r="S5" s="18" t="s">
        <v>77</v>
      </c>
      <c r="T5" s="18">
        <v>128</v>
      </c>
      <c r="U5" s="18">
        <v>134</v>
      </c>
      <c r="V5" s="18">
        <v>245</v>
      </c>
      <c r="W5" s="18">
        <v>170</v>
      </c>
      <c r="X5" s="18">
        <v>181</v>
      </c>
      <c r="Y5" s="18">
        <v>200</v>
      </c>
      <c r="Z5" s="18">
        <v>115</v>
      </c>
      <c r="AA5" s="18">
        <v>202</v>
      </c>
      <c r="AB5" s="10"/>
      <c r="AC5" s="25" t="s">
        <v>36</v>
      </c>
      <c r="AD5" s="31">
        <f>COUNTIFS(P3:AA10,"&gt;125",P3:AA10,"&lt;251")</f>
        <v>65</v>
      </c>
      <c r="AE5" s="27">
        <f>COUNTIFS(P5:AA12,"&gt;125",P5:AA12,"&lt;251",B5:M12,"=i")</f>
        <v>25</v>
      </c>
      <c r="AF5" s="28">
        <f>COUNTIFS(P5:AA12,"&gt;125",P5:AA12,"&lt;251",B5:M12,"=s")</f>
        <v>12</v>
      </c>
      <c r="AG5" s="30">
        <f>COUNTIFS(P5:AA12,"&gt;125",P5:AA12,"&lt;251",B5:M12,"=g")</f>
        <v>11</v>
      </c>
      <c r="AH5" s="10"/>
    </row>
    <row r="6" spans="1:34">
      <c r="A6" s="16" t="s">
        <v>38</v>
      </c>
      <c r="B6" s="18" t="s">
        <v>18</v>
      </c>
      <c r="C6" s="18" t="s">
        <v>18</v>
      </c>
      <c r="D6" s="18" t="s">
        <v>53</v>
      </c>
      <c r="E6" s="18" t="s">
        <v>17</v>
      </c>
      <c r="F6" s="18" t="s">
        <v>108</v>
      </c>
      <c r="G6" s="18" t="s">
        <v>17</v>
      </c>
      <c r="H6" s="21" t="s">
        <v>17</v>
      </c>
      <c r="I6" s="21" t="s">
        <v>53</v>
      </c>
      <c r="J6" s="21" t="s">
        <v>17</v>
      </c>
      <c r="K6" s="21" t="s">
        <v>17</v>
      </c>
      <c r="L6" s="21" t="s">
        <v>17</v>
      </c>
      <c r="M6" s="21" t="s">
        <v>17</v>
      </c>
      <c r="N6" s="6"/>
      <c r="O6" s="23" t="s">
        <v>38</v>
      </c>
      <c r="P6" s="18">
        <v>170</v>
      </c>
      <c r="Q6" s="18">
        <v>367</v>
      </c>
      <c r="R6" s="18">
        <v>178</v>
      </c>
      <c r="S6" s="18" t="s">
        <v>37</v>
      </c>
      <c r="T6" s="18">
        <v>206</v>
      </c>
      <c r="U6" s="18">
        <v>259</v>
      </c>
      <c r="V6" s="18">
        <v>210</v>
      </c>
      <c r="W6" s="18">
        <v>167</v>
      </c>
      <c r="X6" s="18">
        <v>151</v>
      </c>
      <c r="Y6" s="18">
        <v>228</v>
      </c>
      <c r="Z6" s="18">
        <v>183</v>
      </c>
      <c r="AA6" s="18">
        <v>148</v>
      </c>
      <c r="AB6" s="10"/>
      <c r="AC6" s="25" t="s">
        <v>39</v>
      </c>
      <c r="AD6" s="31">
        <f>COUNTIFS(P3:AA10,"&gt;250",P3:AA10,"&lt;501")</f>
        <v>6</v>
      </c>
      <c r="AE6" s="27">
        <f>COUNTIFS(P6:AA13,"&gt;250",P6:AA13,"&lt;501",B6:M13,"=i")</f>
        <v>3</v>
      </c>
      <c r="AF6" s="28">
        <f>COUNTIFS(P6:AA13,"&gt;250",P6:AA13,"&lt;501",B6:M13,"=s")</f>
        <v>2</v>
      </c>
      <c r="AG6" s="30">
        <f>COUNTIFS(P6:AA13,"&gt;250",P6:AA13,"&lt;501",B6:M13,"=g")</f>
        <v>1</v>
      </c>
      <c r="AH6" s="10"/>
    </row>
    <row r="7" spans="1:34">
      <c r="A7" s="16" t="s">
        <v>40</v>
      </c>
      <c r="B7" s="18" t="s">
        <v>18</v>
      </c>
      <c r="C7" s="21" t="s">
        <v>53</v>
      </c>
      <c r="D7" s="18" t="s">
        <v>53</v>
      </c>
      <c r="E7" s="18" t="s">
        <v>18</v>
      </c>
      <c r="F7" s="18" t="s">
        <v>17</v>
      </c>
      <c r="G7" s="21" t="s">
        <v>18</v>
      </c>
      <c r="H7" s="21" t="s">
        <v>18</v>
      </c>
      <c r="I7" s="21" t="s">
        <v>18</v>
      </c>
      <c r="J7" s="21" t="s">
        <v>17</v>
      </c>
      <c r="K7" s="21" t="s">
        <v>17</v>
      </c>
      <c r="L7" s="21" t="s">
        <v>17</v>
      </c>
      <c r="M7" s="21" t="s">
        <v>17</v>
      </c>
      <c r="N7" s="6"/>
      <c r="O7" s="23" t="s">
        <v>40</v>
      </c>
      <c r="P7" s="18">
        <v>204</v>
      </c>
      <c r="Q7" s="18">
        <v>197</v>
      </c>
      <c r="R7" s="18">
        <v>215</v>
      </c>
      <c r="S7" s="18">
        <v>221</v>
      </c>
      <c r="T7" s="18">
        <v>224</v>
      </c>
      <c r="U7" s="18">
        <v>120</v>
      </c>
      <c r="V7" s="18">
        <v>278</v>
      </c>
      <c r="W7" s="18">
        <v>174</v>
      </c>
      <c r="X7" s="18">
        <v>147</v>
      </c>
      <c r="Y7" s="18">
        <v>80</v>
      </c>
      <c r="Z7" s="18">
        <v>103</v>
      </c>
      <c r="AA7" s="18">
        <v>199</v>
      </c>
      <c r="AB7" s="10"/>
      <c r="AC7" s="25" t="s">
        <v>41</v>
      </c>
      <c r="AD7" s="31">
        <f>COUNTIF(P3:AA10,"&gt;500")</f>
        <v>0</v>
      </c>
      <c r="AE7" s="27">
        <f>COUNTIFS(P7:AA14,"&gt;500",B7:M14,"=i")</f>
        <v>0</v>
      </c>
      <c r="AF7" s="28">
        <f>COUNTIFS(P7:AA14,"&gt;500",B7:M14,"=s")</f>
        <v>0</v>
      </c>
      <c r="AG7" s="30">
        <f>COUNTIFS(P7:AA14,"&gt;500",B7:M14,"=g")</f>
        <v>0</v>
      </c>
      <c r="AH7" s="10"/>
    </row>
    <row r="8" spans="1:34">
      <c r="A8" s="16" t="s">
        <v>42</v>
      </c>
      <c r="B8" s="18" t="s">
        <v>17</v>
      </c>
      <c r="C8" s="21" t="s">
        <v>53</v>
      </c>
      <c r="D8" s="18" t="s">
        <v>53</v>
      </c>
      <c r="E8" s="18" t="s">
        <v>97</v>
      </c>
      <c r="F8" s="18" t="s">
        <v>17</v>
      </c>
      <c r="G8" s="21" t="s">
        <v>18</v>
      </c>
      <c r="H8" s="21" t="s">
        <v>56</v>
      </c>
      <c r="I8" s="21" t="s">
        <v>53</v>
      </c>
      <c r="J8" s="21" t="s">
        <v>17</v>
      </c>
      <c r="K8" s="21" t="s">
        <v>17</v>
      </c>
      <c r="L8" s="21" t="s">
        <v>17</v>
      </c>
      <c r="M8" s="21" t="s">
        <v>18</v>
      </c>
      <c r="N8" s="6"/>
      <c r="O8" s="23" t="s">
        <v>42</v>
      </c>
      <c r="P8" s="18">
        <v>254</v>
      </c>
      <c r="Q8" s="18">
        <v>159</v>
      </c>
      <c r="R8" s="18">
        <v>150</v>
      </c>
      <c r="S8" s="18">
        <v>130</v>
      </c>
      <c r="T8" s="18">
        <v>212</v>
      </c>
      <c r="U8" s="18">
        <v>94</v>
      </c>
      <c r="V8" s="18">
        <v>157</v>
      </c>
      <c r="W8" s="18">
        <v>166</v>
      </c>
      <c r="X8" s="18">
        <v>148</v>
      </c>
      <c r="Y8" s="18">
        <v>113</v>
      </c>
      <c r="Z8" s="18">
        <v>161</v>
      </c>
      <c r="AA8" s="18">
        <v>205</v>
      </c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17</v>
      </c>
      <c r="C9" s="18" t="s">
        <v>17</v>
      </c>
      <c r="D9" s="18" t="s">
        <v>53</v>
      </c>
      <c r="E9" s="18" t="s">
        <v>17</v>
      </c>
      <c r="F9" s="18" t="s">
        <v>17</v>
      </c>
      <c r="G9" s="18" t="s">
        <v>18</v>
      </c>
      <c r="H9" s="21" t="s">
        <v>56</v>
      </c>
      <c r="I9" s="21" t="s">
        <v>18</v>
      </c>
      <c r="J9" s="21" t="s">
        <v>17</v>
      </c>
      <c r="K9" s="21" t="s">
        <v>17</v>
      </c>
      <c r="L9" s="21" t="s">
        <v>17</v>
      </c>
      <c r="M9" s="21" t="s">
        <v>17</v>
      </c>
      <c r="N9" s="6"/>
      <c r="O9" s="23" t="s">
        <v>43</v>
      </c>
      <c r="P9" s="18">
        <v>222</v>
      </c>
      <c r="Q9" s="18">
        <v>128</v>
      </c>
      <c r="R9" s="18">
        <v>217</v>
      </c>
      <c r="S9" s="18">
        <v>251</v>
      </c>
      <c r="T9" s="18">
        <v>231</v>
      </c>
      <c r="U9" s="18">
        <v>195</v>
      </c>
      <c r="V9" s="18">
        <v>198</v>
      </c>
      <c r="W9" s="18">
        <v>127</v>
      </c>
      <c r="X9" s="18">
        <v>198</v>
      </c>
      <c r="Y9" s="18">
        <v>220</v>
      </c>
      <c r="Z9" s="18">
        <v>129</v>
      </c>
      <c r="AA9" s="18">
        <v>186</v>
      </c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 t="s">
        <v>17</v>
      </c>
      <c r="C10" s="18" t="s">
        <v>53</v>
      </c>
      <c r="D10" s="18" t="s">
        <v>53</v>
      </c>
      <c r="E10" s="18" t="s">
        <v>53</v>
      </c>
      <c r="F10" s="18" t="s">
        <v>18</v>
      </c>
      <c r="G10" s="18" t="s">
        <v>18</v>
      </c>
      <c r="H10" s="21" t="s">
        <v>17</v>
      </c>
      <c r="I10" s="21" t="s">
        <v>18</v>
      </c>
      <c r="J10" s="21" t="s">
        <v>17</v>
      </c>
      <c r="K10" s="21" t="s">
        <v>17</v>
      </c>
      <c r="L10" s="18" t="s">
        <v>17</v>
      </c>
      <c r="M10" s="18" t="s">
        <v>17</v>
      </c>
      <c r="N10" s="6"/>
      <c r="O10" s="23" t="s">
        <v>47</v>
      </c>
      <c r="P10" s="18">
        <v>81</v>
      </c>
      <c r="Q10" s="18">
        <v>176</v>
      </c>
      <c r="R10" s="18">
        <v>146</v>
      </c>
      <c r="S10" s="18">
        <v>282</v>
      </c>
      <c r="T10" s="18">
        <v>118</v>
      </c>
      <c r="U10" s="18">
        <v>189</v>
      </c>
      <c r="V10" s="18">
        <v>123</v>
      </c>
      <c r="W10" s="18">
        <v>185</v>
      </c>
      <c r="X10" s="18">
        <v>141</v>
      </c>
      <c r="Y10" s="18">
        <v>97</v>
      </c>
      <c r="Z10" s="18">
        <v>222</v>
      </c>
      <c r="AA10" s="18" t="s">
        <v>77</v>
      </c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77" t="s">
        <v>109</v>
      </c>
      <c r="F11" s="2" t="s">
        <v>110</v>
      </c>
      <c r="G11" s="3"/>
      <c r="H11" s="2" t="s">
        <v>111</v>
      </c>
      <c r="I11" s="3"/>
      <c r="J11" s="3"/>
      <c r="K11" s="3"/>
      <c r="L11" s="3"/>
      <c r="M11" s="3"/>
      <c r="N11" s="3"/>
      <c r="O11" s="3"/>
      <c r="P11" s="2"/>
      <c r="Q11" s="2"/>
      <c r="R11" s="2"/>
      <c r="S11" s="2">
        <v>115</v>
      </c>
      <c r="T11" s="2">
        <v>148</v>
      </c>
      <c r="U11" s="2"/>
      <c r="V11" s="2">
        <v>152</v>
      </c>
      <c r="W11" s="2"/>
      <c r="X11" s="2"/>
      <c r="Y11" s="2"/>
      <c r="Z11" s="3"/>
      <c r="AA11" s="2">
        <v>96</v>
      </c>
      <c r="AB11" s="3"/>
      <c r="AC11" s="3"/>
      <c r="AD11" s="3"/>
      <c r="AE11" s="3"/>
      <c r="AF11" s="3"/>
      <c r="AG11" s="3"/>
      <c r="AH11" s="3"/>
    </row>
    <row r="12" spans="1:34">
      <c r="B12" s="3"/>
      <c r="C12" s="3"/>
      <c r="D12" s="3"/>
      <c r="E12" s="3"/>
      <c r="F12" s="3"/>
      <c r="G12" s="3"/>
      <c r="H12" s="2" t="s">
        <v>112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T12" s="2"/>
      <c r="U12" s="3"/>
      <c r="V12" s="2">
        <v>176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29"/>
      <c r="V13" s="29"/>
    </row>
    <row r="14" spans="1:34">
      <c r="B14" s="2" t="s">
        <v>113</v>
      </c>
      <c r="C14" s="3"/>
      <c r="D14" s="78"/>
      <c r="E14" s="3"/>
      <c r="F14" s="3"/>
      <c r="G14" s="3"/>
      <c r="H14" s="3"/>
      <c r="I14" s="78"/>
      <c r="J14" s="3"/>
      <c r="K14" s="3"/>
      <c r="L14" s="3"/>
      <c r="M14" s="3"/>
      <c r="N14" s="3"/>
      <c r="O14" s="2" t="s">
        <v>113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6"/>
      <c r="O15" s="7" t="s">
        <v>8</v>
      </c>
      <c r="P15" s="8">
        <v>1</v>
      </c>
      <c r="Q15" s="8">
        <v>2</v>
      </c>
      <c r="R15" s="8">
        <v>3</v>
      </c>
      <c r="S15" s="8">
        <v>4</v>
      </c>
      <c r="T15" s="8">
        <v>5</v>
      </c>
      <c r="U15" s="8">
        <v>6</v>
      </c>
      <c r="V15" s="8">
        <v>7</v>
      </c>
      <c r="W15" s="8">
        <v>8</v>
      </c>
      <c r="X15" s="8">
        <v>9</v>
      </c>
      <c r="Y15" s="8">
        <v>10</v>
      </c>
      <c r="Z15" s="8">
        <v>11</v>
      </c>
      <c r="AA15" s="8">
        <v>12</v>
      </c>
      <c r="AB15" s="10"/>
      <c r="AC15" s="11" t="s">
        <v>9</v>
      </c>
      <c r="AD15" s="12" t="s">
        <v>10</v>
      </c>
      <c r="AE15" s="13" t="s">
        <v>11</v>
      </c>
      <c r="AF15" s="13" t="s">
        <v>12</v>
      </c>
      <c r="AG15" s="13" t="s">
        <v>13</v>
      </c>
      <c r="AH15" s="14"/>
    </row>
    <row r="16" spans="1:34">
      <c r="A16" s="16" t="s">
        <v>14</v>
      </c>
      <c r="B16" s="18" t="s">
        <v>17</v>
      </c>
      <c r="C16" s="20" t="s">
        <v>53</v>
      </c>
      <c r="D16" s="21" t="s">
        <v>17</v>
      </c>
      <c r="E16" s="18" t="s">
        <v>53</v>
      </c>
      <c r="F16" s="18" t="s">
        <v>53</v>
      </c>
      <c r="G16" s="18" t="s">
        <v>53</v>
      </c>
      <c r="H16" s="18" t="s">
        <v>17</v>
      </c>
      <c r="I16" s="21" t="s">
        <v>17</v>
      </c>
      <c r="J16" s="21" t="s">
        <v>114</v>
      </c>
      <c r="K16" s="21" t="s">
        <v>114</v>
      </c>
      <c r="L16" s="21" t="s">
        <v>114</v>
      </c>
      <c r="M16" s="21" t="s">
        <v>114</v>
      </c>
      <c r="N16" s="6"/>
      <c r="O16" s="23" t="s">
        <v>14</v>
      </c>
      <c r="P16" s="18">
        <v>106</v>
      </c>
      <c r="Q16" s="18" t="s">
        <v>37</v>
      </c>
      <c r="R16" s="18">
        <v>83</v>
      </c>
      <c r="S16" s="18" t="s">
        <v>77</v>
      </c>
      <c r="T16" s="18" t="s">
        <v>77</v>
      </c>
      <c r="U16" s="18" t="s">
        <v>77</v>
      </c>
      <c r="V16" s="18">
        <v>117</v>
      </c>
      <c r="W16" s="18" t="s">
        <v>77</v>
      </c>
      <c r="X16" s="18" t="s">
        <v>77</v>
      </c>
      <c r="Y16" s="18" t="s">
        <v>77</v>
      </c>
      <c r="Z16" s="18" t="s">
        <v>77</v>
      </c>
      <c r="AA16" s="18">
        <v>75</v>
      </c>
      <c r="AB16" s="10"/>
      <c r="AC16" s="25" t="s">
        <v>21</v>
      </c>
      <c r="AD16" s="26">
        <f>COUNTIFS(P16:AA23,"&gt;0",P16:AA23,"&lt;51")</f>
        <v>3</v>
      </c>
      <c r="AE16" s="27">
        <f>COUNTIFS(P16:AA23,"&gt;0",P16:AA23,"&lt;51",B16:M23,"=i")</f>
        <v>2</v>
      </c>
      <c r="AF16" s="28">
        <f>COUNTIFS(P16:AA23,"&gt;0",P16:AA23,"&lt;51",B16:M23,"=s")</f>
        <v>1</v>
      </c>
      <c r="AG16" s="30">
        <f>COUNTIFS(P16:AA23,"&gt;0",P16:AA23,"&lt;51",B16:M23,"=g")</f>
        <v>0</v>
      </c>
      <c r="AH16" s="10"/>
    </row>
    <row r="17" spans="1:34">
      <c r="A17" s="16" t="s">
        <v>32</v>
      </c>
      <c r="B17" s="18" t="s">
        <v>17</v>
      </c>
      <c r="C17" s="18" t="s">
        <v>17</v>
      </c>
      <c r="D17" s="18" t="s">
        <v>53</v>
      </c>
      <c r="E17" s="18" t="s">
        <v>17</v>
      </c>
      <c r="F17" s="18" t="s">
        <v>17</v>
      </c>
      <c r="G17" s="18" t="s">
        <v>17</v>
      </c>
      <c r="H17" s="18" t="s">
        <v>114</v>
      </c>
      <c r="I17" s="21" t="s">
        <v>114</v>
      </c>
      <c r="J17" s="21" t="s">
        <v>114</v>
      </c>
      <c r="K17" s="21" t="s">
        <v>17</v>
      </c>
      <c r="L17" s="21" t="s">
        <v>17</v>
      </c>
      <c r="M17" s="21" t="s">
        <v>17</v>
      </c>
      <c r="N17" s="6"/>
      <c r="O17" s="23" t="s">
        <v>32</v>
      </c>
      <c r="P17" s="18" t="s">
        <v>77</v>
      </c>
      <c r="Q17" s="18" t="s">
        <v>77</v>
      </c>
      <c r="R17" s="18" t="s">
        <v>77</v>
      </c>
      <c r="S17" s="18" t="s">
        <v>77</v>
      </c>
      <c r="T17" s="18" t="s">
        <v>77</v>
      </c>
      <c r="U17" s="18" t="s">
        <v>77</v>
      </c>
      <c r="V17" s="18" t="s">
        <v>77</v>
      </c>
      <c r="W17" s="18" t="s">
        <v>77</v>
      </c>
      <c r="X17" s="18" t="s">
        <v>77</v>
      </c>
      <c r="Y17" s="18" t="s">
        <v>77</v>
      </c>
      <c r="Z17" s="18" t="s">
        <v>77</v>
      </c>
      <c r="AA17" s="18" t="s">
        <v>77</v>
      </c>
      <c r="AB17" s="10"/>
      <c r="AC17" s="25" t="s">
        <v>33</v>
      </c>
      <c r="AD17" s="31">
        <f>COUNTIFS(P16:AA23,"&gt;50",P16:AA23,"&lt;126")</f>
        <v>5</v>
      </c>
      <c r="AE17" s="27">
        <f>COUNTIFS(P17:AA24,"&gt;50",P17:AA24,"&lt;126",B17:M24,"=i")</f>
        <v>0</v>
      </c>
      <c r="AF17" s="28">
        <f>COUNTIFS(P17:AA24,"&gt;50",P17:AA24,"&lt;126",B17:M24,"=s")</f>
        <v>0</v>
      </c>
      <c r="AG17" s="30">
        <f>COUNTIFS(P17:AA24,"&gt;50",P17:AA24,"&lt;126",B17:M24,"=g")</f>
        <v>0</v>
      </c>
      <c r="AH17" s="10"/>
    </row>
    <row r="18" spans="1:34">
      <c r="A18" s="16" t="s">
        <v>34</v>
      </c>
      <c r="B18" s="18" t="s">
        <v>17</v>
      </c>
      <c r="C18" s="18" t="s">
        <v>17</v>
      </c>
      <c r="D18" s="18" t="s">
        <v>17</v>
      </c>
      <c r="E18" s="18" t="s">
        <v>17</v>
      </c>
      <c r="F18" s="18" t="s">
        <v>17</v>
      </c>
      <c r="G18" s="18" t="s">
        <v>17</v>
      </c>
      <c r="H18" s="18" t="s">
        <v>53</v>
      </c>
      <c r="I18" s="21" t="s">
        <v>53</v>
      </c>
      <c r="J18" s="21" t="s">
        <v>17</v>
      </c>
      <c r="K18" s="21" t="s">
        <v>53</v>
      </c>
      <c r="L18" s="21" t="s">
        <v>17</v>
      </c>
      <c r="M18" s="21" t="s">
        <v>17</v>
      </c>
      <c r="N18" s="6"/>
      <c r="O18" s="23" t="s">
        <v>34</v>
      </c>
      <c r="P18" s="18">
        <v>43</v>
      </c>
      <c r="Q18" s="18" t="s">
        <v>37</v>
      </c>
      <c r="R18" s="18">
        <v>20</v>
      </c>
      <c r="S18" s="18" t="s">
        <v>77</v>
      </c>
      <c r="T18" s="18" t="s">
        <v>77</v>
      </c>
      <c r="U18" s="18" t="s">
        <v>77</v>
      </c>
      <c r="V18" s="18" t="s">
        <v>77</v>
      </c>
      <c r="W18" s="18" t="s">
        <v>77</v>
      </c>
      <c r="X18" s="18" t="s">
        <v>77</v>
      </c>
      <c r="Y18" s="18" t="s">
        <v>77</v>
      </c>
      <c r="Z18" s="18" t="s">
        <v>77</v>
      </c>
      <c r="AA18" s="18" t="s">
        <v>77</v>
      </c>
      <c r="AB18" s="10"/>
      <c r="AC18" s="25" t="s">
        <v>36</v>
      </c>
      <c r="AD18" s="31">
        <f>COUNTIFS(P16:AA23,"&gt;125",P16:AA23,"&lt;251")</f>
        <v>0</v>
      </c>
      <c r="AE18" s="27">
        <f>COUNTIFS(P18:AA25,"&gt;125",P18:AA25,"&lt;251",B18:M25,"=i")</f>
        <v>0</v>
      </c>
      <c r="AF18" s="28">
        <f>COUNTIFS(P18:AA25,"&gt;125",P18:AA25,"&lt;251",B18:M25,"=s")</f>
        <v>0</v>
      </c>
      <c r="AG18" s="30">
        <f>COUNTIFS(P18:AA25,"&gt;125",P18:AA25,"&lt;251",B18:M25,"=g")</f>
        <v>0</v>
      </c>
      <c r="AH18" s="10"/>
    </row>
    <row r="19" spans="1:34">
      <c r="A19" s="16" t="s">
        <v>38</v>
      </c>
      <c r="B19" s="18" t="s">
        <v>35</v>
      </c>
      <c r="C19" s="18" t="s">
        <v>18</v>
      </c>
      <c r="D19" s="18" t="s">
        <v>17</v>
      </c>
      <c r="E19" s="18" t="s">
        <v>53</v>
      </c>
      <c r="F19" s="18" t="s">
        <v>17</v>
      </c>
      <c r="G19" s="18" t="s">
        <v>17</v>
      </c>
      <c r="H19" s="21" t="s">
        <v>17</v>
      </c>
      <c r="I19" s="21" t="s">
        <v>17</v>
      </c>
      <c r="J19" s="21" t="s">
        <v>17</v>
      </c>
      <c r="K19" s="21" t="s">
        <v>53</v>
      </c>
      <c r="L19" s="21" t="s">
        <v>17</v>
      </c>
      <c r="M19" s="21" t="s">
        <v>114</v>
      </c>
      <c r="N19" s="6"/>
      <c r="O19" s="23" t="s">
        <v>38</v>
      </c>
      <c r="P19" s="18" t="s">
        <v>77</v>
      </c>
      <c r="Q19" s="18" t="s">
        <v>77</v>
      </c>
      <c r="R19" s="18" t="s">
        <v>77</v>
      </c>
      <c r="S19" s="18" t="s">
        <v>77</v>
      </c>
      <c r="T19" s="18" t="s">
        <v>77</v>
      </c>
      <c r="U19" s="18" t="s">
        <v>77</v>
      </c>
      <c r="V19" s="18" t="s">
        <v>77</v>
      </c>
      <c r="W19" s="18" t="s">
        <v>77</v>
      </c>
      <c r="X19" s="18" t="s">
        <v>77</v>
      </c>
      <c r="Y19" s="18" t="s">
        <v>77</v>
      </c>
      <c r="Z19" s="18" t="s">
        <v>77</v>
      </c>
      <c r="AA19" s="18">
        <v>64</v>
      </c>
      <c r="AB19" s="10"/>
      <c r="AC19" s="25" t="s">
        <v>39</v>
      </c>
      <c r="AD19" s="31">
        <f>COUNTIFS(P16:AA23,"&gt;250",P16:AA23,"&lt;501")</f>
        <v>0</v>
      </c>
      <c r="AE19" s="27">
        <f>COUNTIFS(P19:AA26,"&gt;250",P19:AA26,"&lt;501",B19:M26,"=i")</f>
        <v>0</v>
      </c>
      <c r="AF19" s="28">
        <f>COUNTIFS(P19:AA26,"&gt;250",P19:AA26,"&lt;501",B19:M26,"=s")</f>
        <v>0</v>
      </c>
      <c r="AG19" s="30">
        <f>COUNTIFS(P19:AA26,"&gt;250",P19:AA26,"&lt;501",B19:M26,"=g")</f>
        <v>0</v>
      </c>
      <c r="AH19" s="10"/>
    </row>
    <row r="20" spans="1:34">
      <c r="A20" s="16" t="s">
        <v>40</v>
      </c>
      <c r="B20" s="18" t="s">
        <v>17</v>
      </c>
      <c r="C20" s="21" t="s">
        <v>18</v>
      </c>
      <c r="D20" s="18" t="s">
        <v>114</v>
      </c>
      <c r="E20" s="18" t="s">
        <v>17</v>
      </c>
      <c r="F20" s="18" t="s">
        <v>114</v>
      </c>
      <c r="G20" s="21" t="s">
        <v>114</v>
      </c>
      <c r="H20" s="21" t="s">
        <v>115</v>
      </c>
      <c r="I20" s="21" t="s">
        <v>114</v>
      </c>
      <c r="J20" s="21" t="s">
        <v>17</v>
      </c>
      <c r="K20" s="21" t="s">
        <v>114</v>
      </c>
      <c r="L20" s="21" t="s">
        <v>35</v>
      </c>
      <c r="M20" s="21" t="s">
        <v>114</v>
      </c>
      <c r="N20" s="6"/>
      <c r="O20" s="23" t="s">
        <v>40</v>
      </c>
      <c r="P20" s="18" t="s">
        <v>77</v>
      </c>
      <c r="Q20" s="18" t="s">
        <v>77</v>
      </c>
      <c r="R20" s="18" t="s">
        <v>116</v>
      </c>
      <c r="S20" s="18" t="s">
        <v>77</v>
      </c>
      <c r="T20" s="18" t="s">
        <v>116</v>
      </c>
      <c r="U20" s="18" t="s">
        <v>77</v>
      </c>
      <c r="V20" s="18" t="s">
        <v>77</v>
      </c>
      <c r="W20" s="18" t="s">
        <v>77</v>
      </c>
      <c r="X20" s="18" t="s">
        <v>77</v>
      </c>
      <c r="Y20" s="18" t="s">
        <v>77</v>
      </c>
      <c r="Z20" s="18" t="s">
        <v>77</v>
      </c>
      <c r="AA20" s="18" t="s">
        <v>77</v>
      </c>
      <c r="AB20" s="10"/>
      <c r="AC20" s="25" t="s">
        <v>41</v>
      </c>
      <c r="AD20" s="31">
        <f>COUNTIF(P16:AA23,"&gt;500")</f>
        <v>0</v>
      </c>
      <c r="AE20" s="27">
        <f>COUNTIFS(P20:AA27,"&gt;500",B20:M27,"=i")</f>
        <v>0</v>
      </c>
      <c r="AF20" s="28">
        <f>COUNTIFS(P20:AA27,"&gt;500",B20:M27,"=s")</f>
        <v>0</v>
      </c>
      <c r="AG20" s="30">
        <f>COUNTIFS(P20:AA27,"&gt;500",B20:M27,"=g")</f>
        <v>0</v>
      </c>
      <c r="AH20" s="10"/>
    </row>
    <row r="21" spans="1:34">
      <c r="A21" s="16" t="s">
        <v>42</v>
      </c>
      <c r="B21" s="18" t="s">
        <v>17</v>
      </c>
      <c r="C21" s="21" t="s">
        <v>18</v>
      </c>
      <c r="D21" s="18" t="s">
        <v>53</v>
      </c>
      <c r="E21" s="18" t="s">
        <v>17</v>
      </c>
      <c r="F21" s="18" t="s">
        <v>17</v>
      </c>
      <c r="G21" s="21" t="s">
        <v>17</v>
      </c>
      <c r="H21" s="21" t="s">
        <v>17</v>
      </c>
      <c r="I21" s="21" t="s">
        <v>17</v>
      </c>
      <c r="J21" s="21" t="s">
        <v>115</v>
      </c>
      <c r="K21" s="21" t="s">
        <v>114</v>
      </c>
      <c r="L21" s="21" t="s">
        <v>17</v>
      </c>
      <c r="M21" s="21" t="s">
        <v>17</v>
      </c>
      <c r="N21" s="6"/>
      <c r="O21" s="23" t="s">
        <v>42</v>
      </c>
      <c r="P21" s="18" t="s">
        <v>77</v>
      </c>
      <c r="Q21" s="18">
        <v>21</v>
      </c>
      <c r="R21" s="18" t="s">
        <v>37</v>
      </c>
      <c r="S21" s="18" t="s">
        <v>77</v>
      </c>
      <c r="T21" s="18" t="s">
        <v>77</v>
      </c>
      <c r="U21" s="18" t="s">
        <v>77</v>
      </c>
      <c r="V21" s="18" t="s">
        <v>77</v>
      </c>
      <c r="W21" s="18" t="s">
        <v>77</v>
      </c>
      <c r="X21" s="18" t="s">
        <v>77</v>
      </c>
      <c r="Y21" s="18" t="s">
        <v>77</v>
      </c>
      <c r="Z21" s="18" t="s">
        <v>77</v>
      </c>
      <c r="AA21" s="18" t="s">
        <v>77</v>
      </c>
      <c r="AB21" s="10"/>
      <c r="AC21" s="10"/>
      <c r="AD21" s="10"/>
      <c r="AE21" s="10"/>
      <c r="AF21" s="10"/>
      <c r="AG21" s="10"/>
      <c r="AH21" s="10"/>
    </row>
    <row r="22" spans="1:34">
      <c r="A22" s="16" t="s">
        <v>43</v>
      </c>
      <c r="B22" s="18" t="s">
        <v>114</v>
      </c>
      <c r="C22" s="18" t="s">
        <v>18</v>
      </c>
      <c r="D22" s="18" t="s">
        <v>17</v>
      </c>
      <c r="E22" s="18" t="s">
        <v>114</v>
      </c>
      <c r="F22" s="18" t="s">
        <v>17</v>
      </c>
      <c r="G22" s="18" t="s">
        <v>53</v>
      </c>
      <c r="H22" s="21" t="s">
        <v>114</v>
      </c>
      <c r="I22" s="21" t="s">
        <v>17</v>
      </c>
      <c r="J22" s="21" t="s">
        <v>115</v>
      </c>
      <c r="K22" s="21" t="s">
        <v>17</v>
      </c>
      <c r="L22" s="21" t="s">
        <v>114</v>
      </c>
      <c r="M22" s="21" t="s">
        <v>117</v>
      </c>
      <c r="N22" s="79">
        <v>25</v>
      </c>
      <c r="O22" s="23" t="s">
        <v>43</v>
      </c>
      <c r="P22" s="18" t="s">
        <v>77</v>
      </c>
      <c r="Q22" s="18" t="s">
        <v>77</v>
      </c>
      <c r="R22" s="18" t="s">
        <v>77</v>
      </c>
      <c r="S22" s="18" t="s">
        <v>77</v>
      </c>
      <c r="T22" s="18" t="s">
        <v>77</v>
      </c>
      <c r="U22" s="18" t="s">
        <v>77</v>
      </c>
      <c r="V22" s="18" t="s">
        <v>77</v>
      </c>
      <c r="W22" s="18" t="s">
        <v>77</v>
      </c>
      <c r="X22" s="18" t="s">
        <v>77</v>
      </c>
      <c r="Y22" s="18" t="s">
        <v>77</v>
      </c>
      <c r="Z22" s="18" t="s">
        <v>77</v>
      </c>
      <c r="AA22" s="18" t="s">
        <v>77</v>
      </c>
      <c r="AB22" s="10"/>
      <c r="AC22" s="10"/>
      <c r="AD22" s="10"/>
      <c r="AE22" s="10"/>
      <c r="AF22" s="10"/>
      <c r="AG22" s="10"/>
      <c r="AH22" s="10"/>
    </row>
    <row r="23" spans="1:34">
      <c r="A23" s="16" t="s">
        <v>47</v>
      </c>
      <c r="B23" s="18" t="s">
        <v>17</v>
      </c>
      <c r="C23" s="18" t="s">
        <v>53</v>
      </c>
      <c r="D23" s="18" t="s">
        <v>17</v>
      </c>
      <c r="E23" s="18" t="s">
        <v>17</v>
      </c>
      <c r="F23" s="18" t="s">
        <v>17</v>
      </c>
      <c r="G23" s="18" t="s">
        <v>17</v>
      </c>
      <c r="H23" s="21" t="s">
        <v>17</v>
      </c>
      <c r="I23" s="21" t="s">
        <v>53</v>
      </c>
      <c r="J23" s="21" t="s">
        <v>115</v>
      </c>
      <c r="K23" s="21" t="s">
        <v>17</v>
      </c>
      <c r="L23" s="18" t="s">
        <v>17</v>
      </c>
      <c r="M23" s="18" t="s">
        <v>117</v>
      </c>
      <c r="N23" s="6"/>
      <c r="O23" s="23" t="s">
        <v>47</v>
      </c>
      <c r="P23" s="18" t="s">
        <v>77</v>
      </c>
      <c r="Q23" s="18" t="s">
        <v>77</v>
      </c>
      <c r="R23" s="18" t="s">
        <v>77</v>
      </c>
      <c r="S23" s="18" t="s">
        <v>77</v>
      </c>
      <c r="T23" s="18" t="s">
        <v>77</v>
      </c>
      <c r="U23" s="18" t="s">
        <v>77</v>
      </c>
      <c r="V23" s="18" t="s">
        <v>77</v>
      </c>
      <c r="W23" s="18" t="s">
        <v>77</v>
      </c>
      <c r="X23" s="18" t="s">
        <v>77</v>
      </c>
      <c r="Y23" s="18" t="s">
        <v>77</v>
      </c>
      <c r="Z23" s="18" t="s">
        <v>77</v>
      </c>
      <c r="AA23" s="18" t="s">
        <v>77</v>
      </c>
      <c r="AB23" s="10"/>
      <c r="AC23" s="10"/>
      <c r="AD23" s="10"/>
      <c r="AE23" s="10"/>
      <c r="AF23" s="10"/>
      <c r="AG23" s="10"/>
      <c r="AH23" s="10"/>
    </row>
    <row r="24" spans="1:34"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34">
      <c r="B25" s="2" t="s">
        <v>118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 t="s">
        <v>118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M26" s="5">
        <v>12</v>
      </c>
      <c r="N26" s="6"/>
      <c r="O26" s="7" t="s">
        <v>8</v>
      </c>
      <c r="P26" s="8">
        <v>1</v>
      </c>
      <c r="Q26" s="8">
        <v>2</v>
      </c>
      <c r="R26" s="8">
        <v>3</v>
      </c>
      <c r="S26" s="8">
        <v>4</v>
      </c>
      <c r="T26" s="8">
        <v>5</v>
      </c>
      <c r="U26" s="8">
        <v>6</v>
      </c>
      <c r="V26" s="8">
        <v>7</v>
      </c>
      <c r="W26" s="8">
        <v>8</v>
      </c>
      <c r="X26" s="8">
        <v>9</v>
      </c>
      <c r="Y26" s="8">
        <v>10</v>
      </c>
      <c r="Z26" s="8">
        <v>11</v>
      </c>
      <c r="AA26" s="8">
        <v>12</v>
      </c>
      <c r="AB26" s="10"/>
      <c r="AC26" s="11" t="s">
        <v>9</v>
      </c>
      <c r="AD26" s="12" t="s">
        <v>10</v>
      </c>
      <c r="AE26" s="13" t="s">
        <v>11</v>
      </c>
      <c r="AF26" s="13" t="s">
        <v>12</v>
      </c>
      <c r="AG26" s="13" t="s">
        <v>13</v>
      </c>
      <c r="AH26" s="14"/>
    </row>
    <row r="27" spans="1:34">
      <c r="A27" s="16" t="s">
        <v>14</v>
      </c>
      <c r="B27" s="18" t="s">
        <v>114</v>
      </c>
      <c r="C27" s="20" t="s">
        <v>18</v>
      </c>
      <c r="D27" s="21" t="s">
        <v>114</v>
      </c>
      <c r="E27" s="18" t="s">
        <v>114</v>
      </c>
      <c r="F27" s="18" t="s">
        <v>17</v>
      </c>
      <c r="G27" s="18" t="s">
        <v>18</v>
      </c>
      <c r="H27" s="18" t="s">
        <v>17</v>
      </c>
      <c r="I27" s="21" t="s">
        <v>35</v>
      </c>
      <c r="J27" s="21" t="s">
        <v>17</v>
      </c>
      <c r="K27" s="21" t="s">
        <v>114</v>
      </c>
      <c r="L27" s="21" t="s">
        <v>114</v>
      </c>
      <c r="M27" s="21" t="s">
        <v>114</v>
      </c>
      <c r="N27" s="6"/>
      <c r="O27" s="23" t="s">
        <v>14</v>
      </c>
      <c r="P27" s="18" t="s">
        <v>77</v>
      </c>
      <c r="Q27" s="18" t="s">
        <v>77</v>
      </c>
      <c r="R27" s="18" t="s">
        <v>77</v>
      </c>
      <c r="S27" s="18">
        <v>88</v>
      </c>
      <c r="T27" s="18">
        <v>83</v>
      </c>
      <c r="U27" s="18" t="s">
        <v>77</v>
      </c>
      <c r="V27" s="18" t="s">
        <v>77</v>
      </c>
      <c r="W27" s="18">
        <v>199</v>
      </c>
      <c r="X27" s="18" t="s">
        <v>77</v>
      </c>
      <c r="Y27" s="18" t="s">
        <v>77</v>
      </c>
      <c r="Z27" s="18" t="s">
        <v>77</v>
      </c>
      <c r="AA27" s="18" t="s">
        <v>77</v>
      </c>
      <c r="AB27" s="10"/>
      <c r="AC27" s="25" t="s">
        <v>21</v>
      </c>
      <c r="AD27" s="26">
        <f>COUNTIFS(P27:AA34,"&gt;0",P27:AA34,"&lt;51")</f>
        <v>0</v>
      </c>
      <c r="AE27" s="27">
        <f>COUNTIFS(P27:AA34,"&gt;0",P27:AA34,"&lt;51",B27:M34,"=i")</f>
        <v>0</v>
      </c>
      <c r="AF27" s="28">
        <f>COUNTIFS(P27:AA34,"&gt;0",P27:AA34,"&lt;51",B27:M34,"=s")</f>
        <v>0</v>
      </c>
      <c r="AG27" s="30">
        <f>COUNTIFS(P27:AA34,"&gt;0",P27:AA34,"&lt;51",B27:M34,"=g")</f>
        <v>0</v>
      </c>
      <c r="AH27" s="10"/>
    </row>
    <row r="28" spans="1:34">
      <c r="A28" s="16" t="s">
        <v>32</v>
      </c>
      <c r="B28" s="18" t="s">
        <v>18</v>
      </c>
      <c r="C28" s="18" t="s">
        <v>18</v>
      </c>
      <c r="D28" s="18" t="s">
        <v>114</v>
      </c>
      <c r="E28" s="18" t="s">
        <v>114</v>
      </c>
      <c r="F28" s="18" t="s">
        <v>17</v>
      </c>
      <c r="G28" s="18" t="s">
        <v>114</v>
      </c>
      <c r="H28" s="18" t="s">
        <v>114</v>
      </c>
      <c r="I28" s="21" t="s">
        <v>17</v>
      </c>
      <c r="J28" s="21" t="s">
        <v>17</v>
      </c>
      <c r="K28" s="21" t="s">
        <v>35</v>
      </c>
      <c r="L28" s="21" t="s">
        <v>114</v>
      </c>
      <c r="M28" s="21" t="s">
        <v>114</v>
      </c>
      <c r="N28" s="6"/>
      <c r="O28" s="23" t="s">
        <v>32</v>
      </c>
      <c r="P28" s="18" t="s">
        <v>77</v>
      </c>
      <c r="Q28" s="18" t="s">
        <v>77</v>
      </c>
      <c r="R28" s="18" t="s">
        <v>77</v>
      </c>
      <c r="S28" s="18" t="s">
        <v>77</v>
      </c>
      <c r="T28" s="18">
        <v>95</v>
      </c>
      <c r="U28" s="18" t="s">
        <v>77</v>
      </c>
      <c r="V28" s="18">
        <v>172</v>
      </c>
      <c r="W28" s="18" t="s">
        <v>77</v>
      </c>
      <c r="X28" s="18" t="s">
        <v>77</v>
      </c>
      <c r="Y28" s="18" t="s">
        <v>77</v>
      </c>
      <c r="Z28" s="18" t="s">
        <v>77</v>
      </c>
      <c r="AA28" s="18" t="s">
        <v>77</v>
      </c>
      <c r="AB28" s="10"/>
      <c r="AC28" s="25" t="s">
        <v>33</v>
      </c>
      <c r="AD28" s="31">
        <f>COUNTIFS(P27:AA34,"&gt;50",P27:AA34,"&lt;126")</f>
        <v>10</v>
      </c>
      <c r="AE28" s="27">
        <f>COUNTIFS(P28:AA35,"&gt;50",P28:AA35,"&lt;126",B28:M35,"=i")</f>
        <v>7</v>
      </c>
      <c r="AF28" s="28">
        <f>COUNTIFS(P28:AA35,"&gt;50",P28:AA35,"&lt;126",B28:M35,"=s")</f>
        <v>0</v>
      </c>
      <c r="AG28" s="30">
        <f>COUNTIFS(P28:AA35,"&gt;50",P28:AA35,"&lt;126",B28:M35,"=g")</f>
        <v>0</v>
      </c>
      <c r="AH28" s="10"/>
    </row>
    <row r="29" spans="1:34">
      <c r="A29" s="16" t="s">
        <v>34</v>
      </c>
      <c r="B29" s="18" t="s">
        <v>114</v>
      </c>
      <c r="C29" s="18" t="s">
        <v>114</v>
      </c>
      <c r="D29" s="18" t="s">
        <v>114</v>
      </c>
      <c r="E29" s="18" t="s">
        <v>114</v>
      </c>
      <c r="F29" s="18" t="s">
        <v>114</v>
      </c>
      <c r="G29" s="18" t="s">
        <v>114</v>
      </c>
      <c r="H29" s="18" t="s">
        <v>17</v>
      </c>
      <c r="I29" s="21" t="s">
        <v>18</v>
      </c>
      <c r="J29" s="21" t="s">
        <v>17</v>
      </c>
      <c r="K29" s="21" t="s">
        <v>114</v>
      </c>
      <c r="L29" s="21" t="s">
        <v>114</v>
      </c>
      <c r="M29" s="21" t="s">
        <v>17</v>
      </c>
      <c r="N29" s="6"/>
      <c r="O29" s="23" t="s">
        <v>34</v>
      </c>
      <c r="P29" s="18" t="s">
        <v>77</v>
      </c>
      <c r="Q29" s="18">
        <v>91</v>
      </c>
      <c r="R29" s="18" t="s">
        <v>77</v>
      </c>
      <c r="S29" s="18" t="s">
        <v>77</v>
      </c>
      <c r="T29" s="18" t="s">
        <v>77</v>
      </c>
      <c r="U29" s="18" t="s">
        <v>77</v>
      </c>
      <c r="V29" s="18" t="s">
        <v>77</v>
      </c>
      <c r="W29" s="18" t="s">
        <v>77</v>
      </c>
      <c r="X29" s="18" t="s">
        <v>77</v>
      </c>
      <c r="Y29" s="18" t="s">
        <v>77</v>
      </c>
      <c r="Z29" s="18" t="s">
        <v>77</v>
      </c>
      <c r="AA29" s="18">
        <v>96</v>
      </c>
      <c r="AB29" s="10"/>
      <c r="AC29" s="25" t="s">
        <v>36</v>
      </c>
      <c r="AD29" s="31">
        <f>COUNTIFS(P27:AA34,"&gt;125",P27:AA34,"&lt;251")</f>
        <v>15</v>
      </c>
      <c r="AE29" s="27">
        <f>COUNTIFS(P29:AA36,"&gt;125",P29:AA36,"&lt;251",B29:M36,"=i")</f>
        <v>11</v>
      </c>
      <c r="AF29" s="28">
        <f>COUNTIFS(P29:AA36,"&gt;125",P29:AA36,"&lt;251",B29:M36,"=s")</f>
        <v>1</v>
      </c>
      <c r="AG29" s="30">
        <f>COUNTIFS(P29:AA36,"&gt;125",P29:AA36,"&lt;251",B29:M36,"=g")</f>
        <v>1</v>
      </c>
      <c r="AH29" s="10"/>
    </row>
    <row r="30" spans="1:34">
      <c r="A30" s="16" t="s">
        <v>38</v>
      </c>
      <c r="B30" s="18" t="s">
        <v>114</v>
      </c>
      <c r="C30" s="18" t="s">
        <v>114</v>
      </c>
      <c r="D30" s="18" t="s">
        <v>53</v>
      </c>
      <c r="E30" s="18" t="s">
        <v>114</v>
      </c>
      <c r="F30" s="18" t="s">
        <v>114</v>
      </c>
      <c r="G30" s="18" t="s">
        <v>53</v>
      </c>
      <c r="H30" s="21" t="s">
        <v>53</v>
      </c>
      <c r="I30" s="21" t="s">
        <v>18</v>
      </c>
      <c r="J30" s="21" t="s">
        <v>17</v>
      </c>
      <c r="K30" s="21" t="s">
        <v>17</v>
      </c>
      <c r="L30" s="21" t="s">
        <v>17</v>
      </c>
      <c r="M30" s="21" t="s">
        <v>114</v>
      </c>
      <c r="N30" s="6"/>
      <c r="O30" s="23" t="s">
        <v>38</v>
      </c>
      <c r="P30" s="18" t="s">
        <v>77</v>
      </c>
      <c r="Q30" s="18" t="s">
        <v>77</v>
      </c>
      <c r="R30" s="18">
        <v>171</v>
      </c>
      <c r="S30" s="18" t="s">
        <v>77</v>
      </c>
      <c r="T30" s="18" t="s">
        <v>77</v>
      </c>
      <c r="U30" s="18" t="s">
        <v>77</v>
      </c>
      <c r="V30" s="18" t="s">
        <v>77</v>
      </c>
      <c r="W30" s="18" t="s">
        <v>77</v>
      </c>
      <c r="X30" s="18">
        <v>159</v>
      </c>
      <c r="Y30" s="18" t="s">
        <v>77</v>
      </c>
      <c r="Z30" s="18" t="s">
        <v>77</v>
      </c>
      <c r="AA30" s="18" t="s">
        <v>77</v>
      </c>
      <c r="AB30" s="10"/>
      <c r="AC30" s="25" t="s">
        <v>39</v>
      </c>
      <c r="AD30" s="31">
        <f>COUNTIFS(P27:AA34,"&gt;250",P27:AA34,"&lt;501")</f>
        <v>0</v>
      </c>
      <c r="AE30" s="27">
        <f>COUNTIFS(P30:AA37,"&gt;250",P30:AA37,"&lt;501",B30:M37,"=i")</f>
        <v>0</v>
      </c>
      <c r="AF30" s="28">
        <f>COUNTIFS(P30:AA37,"&gt;250",P30:AA37,"&lt;501",B30:M37,"=s")</f>
        <v>0</v>
      </c>
      <c r="AG30" s="30">
        <f>COUNTIFS(P30:AA37,"&gt;250",P30:AA37,"&lt;501",B30:M37,"=g")</f>
        <v>0</v>
      </c>
      <c r="AH30" s="10"/>
    </row>
    <row r="31" spans="1:34">
      <c r="A31" s="16" t="s">
        <v>40</v>
      </c>
      <c r="B31" s="18" t="s">
        <v>114</v>
      </c>
      <c r="C31" s="21" t="s">
        <v>18</v>
      </c>
      <c r="D31" s="18" t="s">
        <v>114</v>
      </c>
      <c r="E31" s="18" t="s">
        <v>114</v>
      </c>
      <c r="F31" s="18" t="s">
        <v>17</v>
      </c>
      <c r="G31" s="21" t="s">
        <v>17</v>
      </c>
      <c r="H31" s="21" t="s">
        <v>114</v>
      </c>
      <c r="I31" s="21" t="s">
        <v>17</v>
      </c>
      <c r="J31" s="21" t="s">
        <v>17</v>
      </c>
      <c r="K31" s="21" t="s">
        <v>114</v>
      </c>
      <c r="L31" s="21" t="s">
        <v>114</v>
      </c>
      <c r="M31" s="21" t="s">
        <v>17</v>
      </c>
      <c r="N31" s="79">
        <v>42</v>
      </c>
      <c r="O31" s="23" t="s">
        <v>40</v>
      </c>
      <c r="P31" s="18" t="s">
        <v>77</v>
      </c>
      <c r="Q31" s="18" t="s">
        <v>77</v>
      </c>
      <c r="R31" s="18" t="s">
        <v>77</v>
      </c>
      <c r="S31" s="18" t="s">
        <v>77</v>
      </c>
      <c r="T31" s="18">
        <v>101</v>
      </c>
      <c r="U31" s="18">
        <v>80</v>
      </c>
      <c r="V31" s="18" t="s">
        <v>77</v>
      </c>
      <c r="W31" s="18" t="s">
        <v>77</v>
      </c>
      <c r="X31" s="18">
        <v>136</v>
      </c>
      <c r="Y31" s="18" t="s">
        <v>77</v>
      </c>
      <c r="Z31" s="18" t="s">
        <v>77</v>
      </c>
      <c r="AA31" s="18">
        <v>137</v>
      </c>
      <c r="AB31" s="10"/>
      <c r="AC31" s="25" t="s">
        <v>41</v>
      </c>
      <c r="AD31" s="31">
        <f>COUNTIF(P27:AA34,"&gt;500")</f>
        <v>0</v>
      </c>
      <c r="AE31" s="27">
        <f>COUNTIFS(P31:AA38,"&gt;500",B31:M38,"=i")</f>
        <v>0</v>
      </c>
      <c r="AF31" s="28">
        <f>COUNTIFS(P31:AA38,"&gt;500",B31:M38,"=s")</f>
        <v>0</v>
      </c>
      <c r="AG31" s="30">
        <f>COUNTIFS(P31:AA38,"&gt;500",B31:M38,"=g")</f>
        <v>0</v>
      </c>
      <c r="AH31" s="10"/>
    </row>
    <row r="32" spans="1:34">
      <c r="A32" s="16" t="s">
        <v>42</v>
      </c>
      <c r="B32" s="18" t="s">
        <v>17</v>
      </c>
      <c r="C32" s="21" t="s">
        <v>17</v>
      </c>
      <c r="D32" s="18" t="s">
        <v>53</v>
      </c>
      <c r="E32" s="18" t="s">
        <v>114</v>
      </c>
      <c r="F32" s="18" t="s">
        <v>17</v>
      </c>
      <c r="G32" s="21" t="s">
        <v>114</v>
      </c>
      <c r="H32" s="21" t="s">
        <v>17</v>
      </c>
      <c r="I32" s="21" t="s">
        <v>53</v>
      </c>
      <c r="J32" s="21" t="s">
        <v>114</v>
      </c>
      <c r="K32" s="21" t="s">
        <v>114</v>
      </c>
      <c r="L32" s="21" t="s">
        <v>17</v>
      </c>
      <c r="M32" s="21" t="s">
        <v>17</v>
      </c>
      <c r="N32" s="6"/>
      <c r="O32" s="23" t="s">
        <v>42</v>
      </c>
      <c r="P32" s="18" t="s">
        <v>77</v>
      </c>
      <c r="Q32" s="18">
        <v>121</v>
      </c>
      <c r="R32" s="18" t="s">
        <v>77</v>
      </c>
      <c r="S32" s="18" t="s">
        <v>77</v>
      </c>
      <c r="T32" s="18">
        <v>74</v>
      </c>
      <c r="U32" s="18" t="s">
        <v>77</v>
      </c>
      <c r="V32" s="18">
        <v>138</v>
      </c>
      <c r="W32" s="18" t="s">
        <v>77</v>
      </c>
      <c r="X32" s="18" t="s">
        <v>77</v>
      </c>
      <c r="Y32" s="18" t="s">
        <v>77</v>
      </c>
      <c r="Z32" s="18">
        <v>160</v>
      </c>
      <c r="AA32" s="18" t="s">
        <v>77</v>
      </c>
      <c r="AB32" s="10"/>
      <c r="AC32" s="10"/>
      <c r="AD32" s="10"/>
      <c r="AE32" s="10"/>
      <c r="AF32" s="10"/>
      <c r="AG32" s="10"/>
      <c r="AH32" s="10"/>
    </row>
    <row r="33" spans="1:36">
      <c r="A33" s="16" t="s">
        <v>43</v>
      </c>
      <c r="B33" s="18" t="s">
        <v>17</v>
      </c>
      <c r="C33" s="18" t="s">
        <v>17</v>
      </c>
      <c r="D33" s="18" t="s">
        <v>18</v>
      </c>
      <c r="E33" s="18" t="s">
        <v>18</v>
      </c>
      <c r="F33" s="18" t="s">
        <v>18</v>
      </c>
      <c r="G33" s="18" t="s">
        <v>17</v>
      </c>
      <c r="H33" s="21" t="s">
        <v>114</v>
      </c>
      <c r="I33" s="21" t="s">
        <v>35</v>
      </c>
      <c r="J33" s="21" t="s">
        <v>17</v>
      </c>
      <c r="K33" s="21" t="s">
        <v>17</v>
      </c>
      <c r="L33" s="21" t="s">
        <v>35</v>
      </c>
      <c r="M33" s="21" t="s">
        <v>117</v>
      </c>
      <c r="N33" s="6"/>
      <c r="O33" s="23" t="s">
        <v>43</v>
      </c>
      <c r="P33" s="18">
        <v>150</v>
      </c>
      <c r="Q33" s="18">
        <v>162</v>
      </c>
      <c r="R33" s="18" t="s">
        <v>77</v>
      </c>
      <c r="S33" s="18" t="s">
        <v>77</v>
      </c>
      <c r="T33" s="18" t="s">
        <v>77</v>
      </c>
      <c r="U33" s="18">
        <v>116</v>
      </c>
      <c r="V33" s="18" t="s">
        <v>77</v>
      </c>
      <c r="W33" s="18" t="s">
        <v>77</v>
      </c>
      <c r="X33" s="18" t="s">
        <v>77</v>
      </c>
      <c r="Y33" s="18">
        <v>143</v>
      </c>
      <c r="Z33" s="18" t="s">
        <v>77</v>
      </c>
      <c r="AA33" s="18" t="s">
        <v>77</v>
      </c>
      <c r="AB33" s="10"/>
      <c r="AC33" s="10"/>
      <c r="AD33" s="10"/>
      <c r="AE33" s="10"/>
      <c r="AF33" s="10"/>
      <c r="AG33" s="10"/>
      <c r="AH33" s="10"/>
    </row>
    <row r="34" spans="1:36">
      <c r="A34" s="16" t="s">
        <v>47</v>
      </c>
      <c r="B34" s="18" t="s">
        <v>17</v>
      </c>
      <c r="C34" s="18" t="s">
        <v>17</v>
      </c>
      <c r="D34" s="18" t="s">
        <v>114</v>
      </c>
      <c r="E34" s="18" t="s">
        <v>18</v>
      </c>
      <c r="F34" s="18" t="s">
        <v>18</v>
      </c>
      <c r="G34" s="18" t="s">
        <v>114</v>
      </c>
      <c r="H34" s="21" t="s">
        <v>114</v>
      </c>
      <c r="I34" s="21" t="s">
        <v>17</v>
      </c>
      <c r="J34" s="21" t="s">
        <v>17</v>
      </c>
      <c r="K34" s="21" t="s">
        <v>114</v>
      </c>
      <c r="L34" s="18" t="s">
        <v>114</v>
      </c>
      <c r="M34" s="18" t="s">
        <v>17</v>
      </c>
      <c r="N34" s="6"/>
      <c r="O34" s="23" t="s">
        <v>47</v>
      </c>
      <c r="P34" s="18">
        <v>161</v>
      </c>
      <c r="Q34" s="18" t="s">
        <v>77</v>
      </c>
      <c r="R34" s="18" t="s">
        <v>77</v>
      </c>
      <c r="S34" s="18">
        <v>176</v>
      </c>
      <c r="T34" s="18" t="s">
        <v>77</v>
      </c>
      <c r="U34" s="18" t="s">
        <v>77</v>
      </c>
      <c r="V34" s="18" t="s">
        <v>77</v>
      </c>
      <c r="W34" s="18">
        <v>128</v>
      </c>
      <c r="X34" s="18">
        <v>159</v>
      </c>
      <c r="Y34" s="18" t="s">
        <v>77</v>
      </c>
      <c r="Z34" s="18" t="s">
        <v>77</v>
      </c>
      <c r="AA34" s="18" t="s">
        <v>77</v>
      </c>
      <c r="AB34" s="10"/>
      <c r="AC34" s="10"/>
      <c r="AD34" s="10"/>
      <c r="AE34" s="10"/>
      <c r="AF34" s="10"/>
      <c r="AG34" s="10"/>
      <c r="AH34" s="10"/>
    </row>
    <row r="35" spans="1:36">
      <c r="F35" s="29" t="s">
        <v>119</v>
      </c>
      <c r="N35" s="29" t="s">
        <v>37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36">
      <c r="B36" s="2" t="s">
        <v>120</v>
      </c>
      <c r="C36" s="3"/>
      <c r="D36" s="2" t="s">
        <v>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2" t="s">
        <v>120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6">
      <c r="B37" s="5">
        <v>1</v>
      </c>
      <c r="C37" s="5">
        <v>2</v>
      </c>
      <c r="D37" s="5">
        <v>3</v>
      </c>
      <c r="E37" s="5">
        <v>4</v>
      </c>
      <c r="F37" s="5">
        <v>5</v>
      </c>
      <c r="G37" s="5">
        <v>6</v>
      </c>
      <c r="H37" s="5">
        <v>7</v>
      </c>
      <c r="I37" s="5">
        <v>8</v>
      </c>
      <c r="J37" s="5">
        <v>9</v>
      </c>
      <c r="K37" s="5">
        <v>10</v>
      </c>
      <c r="L37" s="5">
        <v>11</v>
      </c>
      <c r="M37" s="5">
        <v>12</v>
      </c>
      <c r="N37" s="6"/>
      <c r="O37" s="7" t="s">
        <v>8</v>
      </c>
      <c r="P37" s="8">
        <v>1</v>
      </c>
      <c r="Q37" s="8">
        <v>2</v>
      </c>
      <c r="R37" s="8">
        <v>3</v>
      </c>
      <c r="S37" s="8">
        <v>4</v>
      </c>
      <c r="T37" s="8">
        <v>5</v>
      </c>
      <c r="U37" s="8">
        <v>6</v>
      </c>
      <c r="V37" s="8">
        <v>7</v>
      </c>
      <c r="W37" s="8">
        <v>8</v>
      </c>
      <c r="X37" s="8">
        <v>9</v>
      </c>
      <c r="Y37" s="8">
        <v>10</v>
      </c>
      <c r="Z37" s="8">
        <v>11</v>
      </c>
      <c r="AA37" s="8">
        <v>12</v>
      </c>
      <c r="AB37" s="10"/>
      <c r="AC37" s="11" t="s">
        <v>9</v>
      </c>
      <c r="AD37" s="12" t="s">
        <v>10</v>
      </c>
      <c r="AE37" s="13" t="s">
        <v>11</v>
      </c>
      <c r="AF37" s="13" t="s">
        <v>12</v>
      </c>
      <c r="AG37" s="13" t="s">
        <v>13</v>
      </c>
      <c r="AH37" s="14"/>
    </row>
    <row r="38" spans="1:36">
      <c r="A38" s="16" t="s">
        <v>14</v>
      </c>
      <c r="B38" s="18" t="s">
        <v>77</v>
      </c>
      <c r="C38" s="20" t="s">
        <v>77</v>
      </c>
      <c r="D38" s="21"/>
      <c r="E38" s="18" t="s">
        <v>17</v>
      </c>
      <c r="F38" s="18"/>
      <c r="G38" s="18"/>
      <c r="H38" s="18"/>
      <c r="I38" s="21"/>
      <c r="J38" s="22"/>
      <c r="K38" s="22"/>
      <c r="L38" s="22"/>
      <c r="M38" s="22"/>
      <c r="N38" s="6"/>
      <c r="O38" s="23" t="s">
        <v>14</v>
      </c>
      <c r="P38" s="18">
        <v>48</v>
      </c>
      <c r="Q38" s="18" t="s">
        <v>77</v>
      </c>
      <c r="R38" s="193"/>
      <c r="S38" s="193">
        <v>215</v>
      </c>
      <c r="T38" s="24"/>
      <c r="U38" s="24"/>
      <c r="V38" s="24"/>
      <c r="W38" s="24"/>
      <c r="X38" s="24"/>
      <c r="Y38" s="24"/>
      <c r="Z38" s="24"/>
      <c r="AA38" s="24"/>
      <c r="AB38" s="10"/>
      <c r="AC38" s="25" t="s">
        <v>21</v>
      </c>
      <c r="AD38" s="26">
        <f>COUNTIFS(P38:AA45,"&gt;0",P38:AA45,"&lt;51")</f>
        <v>3</v>
      </c>
      <c r="AE38" s="27">
        <f>COUNTIFS(P38:AA45,"&gt;0",P38:AA45,"&lt;51",B38:M45,"=i")</f>
        <v>0</v>
      </c>
      <c r="AF38" s="28">
        <f>COUNTIFS(P38:AA45,"&gt;0",P38:AA45,"&lt;51",B38:M45,"=s")</f>
        <v>0</v>
      </c>
      <c r="AG38" s="30">
        <f>COUNTIFS(P38:AA45,"&gt;0",P38:AA45,"&lt;51",B38:M45,"=g")</f>
        <v>0</v>
      </c>
      <c r="AH38" s="10"/>
    </row>
    <row r="39" spans="1:36">
      <c r="A39" s="16" t="s">
        <v>32</v>
      </c>
      <c r="B39" s="18" t="s">
        <v>77</v>
      </c>
      <c r="C39" s="18"/>
      <c r="D39" s="18"/>
      <c r="E39" s="18" t="s">
        <v>17</v>
      </c>
      <c r="F39" s="18"/>
      <c r="G39" s="24"/>
      <c r="H39" s="18"/>
      <c r="I39" s="21"/>
      <c r="J39" s="21"/>
      <c r="K39" s="22"/>
      <c r="L39" s="22"/>
      <c r="M39" s="22"/>
      <c r="N39" s="6"/>
      <c r="O39" s="23" t="s">
        <v>32</v>
      </c>
      <c r="P39" s="18">
        <v>41</v>
      </c>
      <c r="Q39" s="24"/>
      <c r="R39" s="193"/>
      <c r="S39" s="193">
        <v>239</v>
      </c>
      <c r="T39" s="24"/>
      <c r="U39" s="24"/>
      <c r="V39" s="24"/>
      <c r="W39" s="24"/>
      <c r="X39" s="24"/>
      <c r="Y39" s="24"/>
      <c r="Z39" s="24"/>
      <c r="AA39" s="24"/>
      <c r="AB39" s="10"/>
      <c r="AC39" s="25" t="s">
        <v>33</v>
      </c>
      <c r="AD39" s="31">
        <f>COUNTIFS(P38:AA45,"&gt;50",P38:AA45,"&lt;126")</f>
        <v>1</v>
      </c>
      <c r="AE39" s="27">
        <f>COUNTIFS(P39:AA46,"&gt;50",P39:AA46,"&lt;126",B39:M46,"=i")</f>
        <v>0</v>
      </c>
      <c r="AF39" s="28">
        <f>COUNTIFS(P39:AA46,"&gt;50",P39:AA46,"&lt;126",B39:M46,"=s")</f>
        <v>0</v>
      </c>
      <c r="AG39" s="30">
        <f>COUNTIFS(P39:AA46,"&gt;50",P39:AA46,"&lt;126",B39:M46,"=g")</f>
        <v>0</v>
      </c>
      <c r="AH39" s="10"/>
      <c r="AI39" s="204"/>
      <c r="AJ39" s="205"/>
    </row>
    <row r="40" spans="1:36">
      <c r="A40" s="16" t="s">
        <v>34</v>
      </c>
      <c r="B40" s="18" t="s">
        <v>77</v>
      </c>
      <c r="C40" s="18"/>
      <c r="D40" s="18" t="s">
        <v>18</v>
      </c>
      <c r="E40" s="18" t="s">
        <v>17</v>
      </c>
      <c r="F40" s="18"/>
      <c r="G40" s="18"/>
      <c r="H40" s="18"/>
      <c r="I40" s="21"/>
      <c r="J40" s="21"/>
      <c r="K40" s="22"/>
      <c r="L40" s="22"/>
      <c r="M40" s="22"/>
      <c r="N40" s="6"/>
      <c r="O40" s="23" t="s">
        <v>34</v>
      </c>
      <c r="P40" s="18">
        <v>39</v>
      </c>
      <c r="Q40" s="24"/>
      <c r="R40" s="193">
        <v>210</v>
      </c>
      <c r="S40" s="193">
        <v>186</v>
      </c>
      <c r="T40" s="24"/>
      <c r="U40" s="24"/>
      <c r="V40" s="24"/>
      <c r="W40" s="24"/>
      <c r="X40" s="24"/>
      <c r="Y40" s="24"/>
      <c r="Z40" s="24"/>
      <c r="AA40" s="24"/>
      <c r="AB40" s="10"/>
      <c r="AC40" s="25" t="s">
        <v>36</v>
      </c>
      <c r="AD40" s="31">
        <f>COUNTIFS(P38:AA45,"&gt;125",P38:AA45,"&lt;251")</f>
        <v>11</v>
      </c>
      <c r="AE40" s="27">
        <f>COUNTIFS(P40:AA47,"&gt;125",P40:AA47,"&lt;251",B40:M47,"=i")</f>
        <v>6</v>
      </c>
      <c r="AF40" s="28">
        <f>COUNTIFS(P40:AA47,"&gt;125",P40:AA47,"&lt;251",B40:M47,"=s")</f>
        <v>3</v>
      </c>
      <c r="AG40" s="30">
        <f>COUNTIFS(P40:AA47,"&gt;125",P40:AA47,"&lt;251",B40:M47,"=g")</f>
        <v>0</v>
      </c>
      <c r="AH40" s="10"/>
    </row>
    <row r="41" spans="1:36">
      <c r="A41" s="16" t="s">
        <v>38</v>
      </c>
      <c r="B41" s="18" t="s">
        <v>77</v>
      </c>
      <c r="C41" s="18"/>
      <c r="D41" s="18" t="s">
        <v>18</v>
      </c>
      <c r="E41" s="18" t="s">
        <v>18</v>
      </c>
      <c r="F41" s="18"/>
      <c r="G41" s="18"/>
      <c r="H41" s="21"/>
      <c r="I41" s="21"/>
      <c r="J41" s="21"/>
      <c r="K41" s="22"/>
      <c r="L41" s="22"/>
      <c r="M41" s="22"/>
      <c r="N41" s="6"/>
      <c r="O41" s="23" t="s">
        <v>38</v>
      </c>
      <c r="P41" s="18" t="s">
        <v>77</v>
      </c>
      <c r="Q41" s="24"/>
      <c r="R41" s="193">
        <v>206</v>
      </c>
      <c r="S41" s="193">
        <v>172</v>
      </c>
      <c r="T41" s="24"/>
      <c r="U41" s="24"/>
      <c r="V41" s="24"/>
      <c r="W41" s="24"/>
      <c r="X41" s="24"/>
      <c r="Y41" s="24"/>
      <c r="Z41" s="24"/>
      <c r="AA41" s="24"/>
      <c r="AB41" s="10"/>
      <c r="AC41" s="25" t="s">
        <v>39</v>
      </c>
      <c r="AD41" s="31">
        <f>COUNTIFS(P38:AA45,"&gt;250",P38:AA45,"&lt;501")</f>
        <v>0</v>
      </c>
      <c r="AE41" s="27">
        <f>COUNTIFS(P41:AA48,"&gt;250",P41:AA48,"&lt;501",B41:M48,"=i")</f>
        <v>0</v>
      </c>
      <c r="AF41" s="28">
        <f>COUNTIFS(P41:AA48,"&gt;250",P41:AA48,"&lt;501",B41:M48,"=s")</f>
        <v>0</v>
      </c>
      <c r="AG41" s="30">
        <f>COUNTIFS(P41:AA48,"&gt;250",P41:AA48,"&lt;501",B41:M48,"=g")</f>
        <v>0</v>
      </c>
      <c r="AH41" s="10"/>
    </row>
    <row r="42" spans="1:36">
      <c r="A42" s="16" t="s">
        <v>40</v>
      </c>
      <c r="B42" s="18" t="s">
        <v>77</v>
      </c>
      <c r="C42" s="21"/>
      <c r="D42" s="18" t="s">
        <v>17</v>
      </c>
      <c r="E42" s="18" t="s">
        <v>17</v>
      </c>
      <c r="F42" s="18"/>
      <c r="G42" s="21"/>
      <c r="H42" s="21"/>
      <c r="I42" s="21"/>
      <c r="J42" s="21"/>
      <c r="K42" s="22"/>
      <c r="L42" s="22"/>
      <c r="M42" s="22"/>
      <c r="N42" s="6"/>
      <c r="O42" s="23" t="s">
        <v>40</v>
      </c>
      <c r="P42" s="18" t="s">
        <v>77</v>
      </c>
      <c r="Q42" s="24"/>
      <c r="R42" s="193">
        <v>159</v>
      </c>
      <c r="S42" s="193">
        <v>170</v>
      </c>
      <c r="T42" s="24"/>
      <c r="U42" s="24"/>
      <c r="V42" s="24"/>
      <c r="W42" s="24"/>
      <c r="X42" s="24"/>
      <c r="Y42" s="24"/>
      <c r="Z42" s="24"/>
      <c r="AA42" s="24"/>
      <c r="AB42" s="10"/>
      <c r="AC42" s="25" t="s">
        <v>41</v>
      </c>
      <c r="AD42" s="31">
        <f>COUNTIF(P38:AA45,"&gt;500")</f>
        <v>0</v>
      </c>
      <c r="AE42" s="27">
        <f>COUNTIFS(P42:AA49,"&gt;500",B42:M49,"=i")</f>
        <v>0</v>
      </c>
      <c r="AF42" s="28">
        <f>COUNTIFS(P42:AA49,"&gt;500",B42:M49,"=s")</f>
        <v>0</v>
      </c>
      <c r="AG42" s="30">
        <f>COUNTIFS(P42:AA49,"&gt;500",B42:M49,"=g")</f>
        <v>0</v>
      </c>
      <c r="AH42" s="10"/>
    </row>
    <row r="43" spans="1:36">
      <c r="A43" s="16" t="s">
        <v>42</v>
      </c>
      <c r="B43" s="18" t="s">
        <v>77</v>
      </c>
      <c r="C43" s="21"/>
      <c r="D43" s="18" t="s">
        <v>17</v>
      </c>
      <c r="E43" s="18"/>
      <c r="F43" s="18"/>
      <c r="G43" s="21"/>
      <c r="H43" s="21"/>
      <c r="I43" s="21"/>
      <c r="J43" s="21"/>
      <c r="K43" s="22"/>
      <c r="L43" s="22"/>
      <c r="M43" s="22"/>
      <c r="N43" s="6"/>
      <c r="O43" s="23" t="s">
        <v>42</v>
      </c>
      <c r="P43" s="18" t="s">
        <v>77</v>
      </c>
      <c r="Q43" s="24"/>
      <c r="R43" s="193">
        <v>227</v>
      </c>
      <c r="S43" s="193"/>
      <c r="T43" s="24"/>
      <c r="U43" s="24"/>
      <c r="V43" s="24"/>
      <c r="W43" s="24"/>
      <c r="X43" s="24"/>
      <c r="Y43" s="24"/>
      <c r="Z43" s="24"/>
      <c r="AA43" s="24"/>
      <c r="AB43" s="10"/>
      <c r="AC43" s="10"/>
      <c r="AD43" s="10"/>
      <c r="AE43" s="10"/>
      <c r="AF43" s="10"/>
      <c r="AG43" s="10"/>
      <c r="AH43" s="10"/>
    </row>
    <row r="44" spans="1:36">
      <c r="A44" s="16" t="s">
        <v>43</v>
      </c>
      <c r="B44" s="18" t="s">
        <v>77</v>
      </c>
      <c r="C44" s="18"/>
      <c r="D44" s="18" t="s">
        <v>17</v>
      </c>
      <c r="E44" s="18"/>
      <c r="F44" s="18"/>
      <c r="G44" s="18"/>
      <c r="H44" s="21"/>
      <c r="I44" s="21"/>
      <c r="J44" s="21"/>
      <c r="K44" s="22"/>
      <c r="L44" s="22"/>
      <c r="M44" s="22"/>
      <c r="N44" s="6"/>
      <c r="O44" s="23" t="s">
        <v>43</v>
      </c>
      <c r="P44" s="18" t="s">
        <v>77</v>
      </c>
      <c r="Q44" s="24"/>
      <c r="R44" s="193">
        <v>245</v>
      </c>
      <c r="S44" s="193"/>
      <c r="T44" s="24"/>
      <c r="U44" s="24"/>
      <c r="V44" s="24"/>
      <c r="W44" s="24"/>
      <c r="X44" s="24"/>
      <c r="Y44" s="24"/>
      <c r="Z44" s="24"/>
      <c r="AA44" s="24"/>
      <c r="AB44" s="10"/>
      <c r="AC44" s="10"/>
      <c r="AD44" s="10"/>
      <c r="AE44" s="10"/>
      <c r="AF44" s="10"/>
      <c r="AG44" s="10"/>
      <c r="AH44" s="10"/>
    </row>
    <row r="45" spans="1:36">
      <c r="A45" s="16" t="s">
        <v>47</v>
      </c>
      <c r="B45" s="18" t="s">
        <v>77</v>
      </c>
      <c r="C45" s="18"/>
      <c r="D45" s="18" t="s">
        <v>17</v>
      </c>
      <c r="E45" s="18"/>
      <c r="F45" s="18"/>
      <c r="G45" s="18"/>
      <c r="H45" s="21"/>
      <c r="I45" s="21"/>
      <c r="J45" s="22"/>
      <c r="K45" s="22"/>
      <c r="L45" s="24"/>
      <c r="M45" s="24"/>
      <c r="N45" s="6"/>
      <c r="O45" s="23" t="s">
        <v>47</v>
      </c>
      <c r="P45" s="18">
        <v>64</v>
      </c>
      <c r="Q45" s="24"/>
      <c r="R45" s="193">
        <v>214</v>
      </c>
      <c r="S45" s="193"/>
      <c r="T45" s="24"/>
      <c r="U45" s="24"/>
      <c r="V45" s="24"/>
      <c r="W45" s="24"/>
      <c r="X45" s="24"/>
      <c r="Y45" s="24"/>
      <c r="Z45" s="24"/>
      <c r="AA45" s="24"/>
      <c r="AB45" s="10"/>
      <c r="AC45" s="10"/>
      <c r="AD45" s="10"/>
      <c r="AE45" s="10"/>
      <c r="AF45" s="10"/>
      <c r="AG45" s="10"/>
      <c r="AH45" s="10"/>
    </row>
    <row r="47" spans="1:36">
      <c r="B47" s="2" t="s">
        <v>121</v>
      </c>
      <c r="C47" s="3"/>
      <c r="D47" s="201"/>
      <c r="E47" s="202"/>
      <c r="F47" s="202"/>
      <c r="G47" s="202"/>
      <c r="H47" s="202"/>
      <c r="I47" s="202"/>
      <c r="J47" s="202"/>
      <c r="K47" s="202"/>
      <c r="L47" s="3"/>
      <c r="M47" s="3"/>
      <c r="N47" s="3"/>
      <c r="O47" s="2" t="s">
        <v>121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6">
      <c r="B48" s="5">
        <v>1</v>
      </c>
      <c r="C48" s="5">
        <v>2</v>
      </c>
      <c r="D48" s="5">
        <v>3</v>
      </c>
      <c r="E48" s="5">
        <v>4</v>
      </c>
      <c r="F48" s="5">
        <v>5</v>
      </c>
      <c r="G48" s="5">
        <v>6</v>
      </c>
      <c r="H48" s="5">
        <v>7</v>
      </c>
      <c r="I48" s="5">
        <v>8</v>
      </c>
      <c r="J48" s="5">
        <v>9</v>
      </c>
      <c r="K48" s="5">
        <v>10</v>
      </c>
      <c r="L48" s="5">
        <v>11</v>
      </c>
      <c r="M48" s="5">
        <v>12</v>
      </c>
      <c r="N48" s="6"/>
      <c r="O48" s="7" t="s">
        <v>8</v>
      </c>
      <c r="P48" s="8">
        <v>1</v>
      </c>
      <c r="Q48" s="8">
        <v>2</v>
      </c>
      <c r="R48" s="8">
        <v>3</v>
      </c>
      <c r="S48" s="8">
        <v>4</v>
      </c>
      <c r="T48" s="8">
        <v>5</v>
      </c>
      <c r="U48" s="8">
        <v>6</v>
      </c>
      <c r="V48" s="8">
        <v>7</v>
      </c>
      <c r="W48" s="8">
        <v>8</v>
      </c>
      <c r="X48" s="8">
        <v>9</v>
      </c>
      <c r="Y48" s="8">
        <v>10</v>
      </c>
      <c r="Z48" s="8">
        <v>11</v>
      </c>
      <c r="AA48" s="8">
        <v>12</v>
      </c>
      <c r="AB48" s="10"/>
      <c r="AC48" s="11" t="s">
        <v>9</v>
      </c>
      <c r="AD48" s="12" t="s">
        <v>10</v>
      </c>
      <c r="AE48" s="13" t="s">
        <v>11</v>
      </c>
      <c r="AF48" s="13" t="s">
        <v>12</v>
      </c>
      <c r="AG48" s="13" t="s">
        <v>13</v>
      </c>
      <c r="AH48" s="14"/>
    </row>
    <row r="49" spans="1:34">
      <c r="A49" s="16" t="s">
        <v>14</v>
      </c>
      <c r="B49" s="18"/>
      <c r="C49" s="20"/>
      <c r="D49" s="21"/>
      <c r="E49" s="18"/>
      <c r="F49" s="18"/>
      <c r="G49" s="18"/>
      <c r="H49" s="18"/>
      <c r="I49" s="21"/>
      <c r="J49" s="22"/>
      <c r="K49" s="22"/>
      <c r="L49" s="21" t="s">
        <v>18</v>
      </c>
      <c r="M49" s="21" t="s">
        <v>53</v>
      </c>
      <c r="N49" s="6"/>
      <c r="O49" s="23" t="s">
        <v>14</v>
      </c>
      <c r="P49" s="18"/>
      <c r="Q49" s="24"/>
      <c r="R49" s="24"/>
      <c r="S49" s="24"/>
      <c r="T49" s="24"/>
      <c r="U49" s="24"/>
      <c r="V49" s="24"/>
      <c r="W49" s="24"/>
      <c r="X49" s="24"/>
      <c r="Y49" s="24"/>
      <c r="Z49" s="18">
        <v>165</v>
      </c>
      <c r="AA49" s="18">
        <v>288</v>
      </c>
      <c r="AB49" s="10"/>
      <c r="AC49" s="25" t="s">
        <v>21</v>
      </c>
      <c r="AD49" s="26">
        <f>COUNTIFS(P49:AA56,"&gt;0",P49:AA56,"&lt;51")</f>
        <v>0</v>
      </c>
      <c r="AE49" s="27">
        <f>COUNTIFS(P49:AA56,"&gt;0",P49:AA56,"&lt;51",B49:M56,"=i")</f>
        <v>0</v>
      </c>
      <c r="AF49" s="28">
        <f>COUNTIFS(P49:AA56,"&gt;0",P49:AA56,"&lt;51",B49:M56,"=s")</f>
        <v>0</v>
      </c>
      <c r="AG49" s="30">
        <f>COUNTIFS(P49:AA56,"&gt;0",P49:AA56,"&lt;51",B49:M56,"=g")</f>
        <v>0</v>
      </c>
      <c r="AH49" s="10"/>
    </row>
    <row r="50" spans="1:34">
      <c r="A50" s="16" t="s">
        <v>32</v>
      </c>
      <c r="B50" s="18"/>
      <c r="C50" s="18"/>
      <c r="D50" s="18"/>
      <c r="E50" s="18"/>
      <c r="F50" s="18"/>
      <c r="G50" s="24"/>
      <c r="H50" s="18"/>
      <c r="I50" s="21"/>
      <c r="J50" s="21"/>
      <c r="K50" s="22"/>
      <c r="L50" s="21" t="s">
        <v>53</v>
      </c>
      <c r="M50" s="21" t="s">
        <v>53</v>
      </c>
      <c r="N50" s="6"/>
      <c r="O50" s="23" t="s">
        <v>32</v>
      </c>
      <c r="P50" s="18"/>
      <c r="Q50" s="24"/>
      <c r="R50" s="24"/>
      <c r="S50" s="24"/>
      <c r="T50" s="24"/>
      <c r="U50" s="24"/>
      <c r="V50" s="24"/>
      <c r="W50" s="24"/>
      <c r="X50" s="24"/>
      <c r="Y50" s="24"/>
      <c r="Z50" s="18">
        <v>132</v>
      </c>
      <c r="AA50" s="18">
        <v>122</v>
      </c>
      <c r="AB50" s="10"/>
      <c r="AC50" s="25" t="s">
        <v>33</v>
      </c>
      <c r="AD50" s="31">
        <f>COUNTIFS(P49:AA56,"&gt;50",P49:AA56,"&lt;126")</f>
        <v>2</v>
      </c>
      <c r="AE50" s="27">
        <f>COUNTIFS(P50:AA57,"&gt;50",P50:AA57,"&lt;126",B50:M57,"=i")</f>
        <v>1</v>
      </c>
      <c r="AF50" s="28">
        <f>COUNTIFS(P50:AA57,"&gt;50",P50:AA57,"&lt;126",B50:M57,"=s")</f>
        <v>0</v>
      </c>
      <c r="AG50" s="30">
        <f>COUNTIFS(P50:AA57,"&gt;50",P50:AA57,"&lt;126",B50:M57,"=g")</f>
        <v>1</v>
      </c>
      <c r="AH50" s="10"/>
    </row>
    <row r="51" spans="1:34">
      <c r="A51" s="16" t="s">
        <v>34</v>
      </c>
      <c r="B51" s="18"/>
      <c r="C51" s="18"/>
      <c r="D51" s="18"/>
      <c r="E51" s="18"/>
      <c r="F51" s="18"/>
      <c r="G51" s="18"/>
      <c r="H51" s="18"/>
      <c r="I51" s="21"/>
      <c r="J51" s="21"/>
      <c r="K51" s="22"/>
      <c r="L51" s="21" t="s">
        <v>18</v>
      </c>
      <c r="M51" s="21" t="s">
        <v>18</v>
      </c>
      <c r="N51" s="6"/>
      <c r="O51" s="23" t="s">
        <v>34</v>
      </c>
      <c r="P51" s="18"/>
      <c r="Q51" s="24"/>
      <c r="R51" s="24"/>
      <c r="S51" s="24"/>
      <c r="T51" s="24"/>
      <c r="U51" s="24"/>
      <c r="V51" s="24"/>
      <c r="W51" s="24"/>
      <c r="X51" s="24"/>
      <c r="Y51" s="24"/>
      <c r="Z51" s="18">
        <v>187</v>
      </c>
      <c r="AA51" s="18" t="s">
        <v>37</v>
      </c>
      <c r="AB51" s="10"/>
      <c r="AC51" s="25" t="s">
        <v>36</v>
      </c>
      <c r="AD51" s="31">
        <f>COUNTIFS(P49:AA56,"&gt;125",P49:AA56,"&lt;251")</f>
        <v>6</v>
      </c>
      <c r="AE51" s="27">
        <f>COUNTIFS(P51:AA57,"&gt;125",P51:AA57,"&lt;251",B51:M57,"=i")</f>
        <v>0</v>
      </c>
      <c r="AF51" s="28">
        <f>COUNTIFS(P51:AA57,"&gt;125",P51:AA57,"&lt;251",B51:M57,"=s")</f>
        <v>2</v>
      </c>
      <c r="AG51" s="30">
        <f>COUNTIFS(P51:AA57,"&gt;125",P51:AA57,"&lt;251",B51:M57,"=g")</f>
        <v>2</v>
      </c>
      <c r="AH51" s="10"/>
    </row>
    <row r="52" spans="1:34">
      <c r="A52" s="16" t="s">
        <v>38</v>
      </c>
      <c r="B52" s="18"/>
      <c r="C52" s="18"/>
      <c r="D52" s="18"/>
      <c r="E52" s="18"/>
      <c r="F52" s="18"/>
      <c r="G52" s="18"/>
      <c r="H52" s="21"/>
      <c r="I52" s="21"/>
      <c r="J52" s="21"/>
      <c r="K52" s="22"/>
      <c r="L52" s="21" t="s">
        <v>53</v>
      </c>
      <c r="M52" s="21" t="s">
        <v>53</v>
      </c>
      <c r="N52" s="6"/>
      <c r="O52" s="23" t="s">
        <v>38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8">
        <v>218</v>
      </c>
      <c r="AA52" s="18">
        <v>151</v>
      </c>
      <c r="AB52" s="10"/>
      <c r="AC52" s="25" t="s">
        <v>39</v>
      </c>
      <c r="AD52" s="31">
        <f>COUNTIFS(P49:AA56,"&gt;250",P49:AA56,"&lt;501")</f>
        <v>1</v>
      </c>
      <c r="AE52" s="27">
        <f>COUNTIFS(P52:AA57,"&gt;250",P52:AA57,"&lt;501",B52:M57,"=i")</f>
        <v>0</v>
      </c>
      <c r="AF52" s="28">
        <f>COUNTIFS(P52:AA57,"&gt;250",P52:AA57,"&lt;501",B52:M57,"=s")</f>
        <v>0</v>
      </c>
      <c r="AG52" s="30">
        <f>COUNTIFS(P52:AA57,"&gt;250",P52:AA57,"&lt;501",B52:M57,"=g")</f>
        <v>0</v>
      </c>
      <c r="AH52" s="10"/>
    </row>
    <row r="53" spans="1:34">
      <c r="A53" s="16" t="s">
        <v>40</v>
      </c>
      <c r="B53" s="18"/>
      <c r="C53" s="21"/>
      <c r="D53" s="18"/>
      <c r="E53" s="18"/>
      <c r="F53" s="18"/>
      <c r="G53" s="21"/>
      <c r="H53" s="21"/>
      <c r="I53" s="21"/>
      <c r="J53" s="21"/>
      <c r="K53" s="22"/>
      <c r="L53" s="22"/>
      <c r="M53" s="21" t="s">
        <v>18</v>
      </c>
      <c r="N53" s="6"/>
      <c r="O53" s="23" t="s">
        <v>40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18">
        <v>165</v>
      </c>
      <c r="AB53" s="10"/>
      <c r="AC53" s="25" t="s">
        <v>41</v>
      </c>
      <c r="AD53" s="31">
        <f>COUNTIF(P49:AA56,"&gt;500")</f>
        <v>0</v>
      </c>
      <c r="AE53" s="27">
        <f>COUNTIFS(P53:AA57,"&gt;500",B53:M57,"=i")</f>
        <v>0</v>
      </c>
      <c r="AF53" s="28">
        <f>COUNTIFS(P53:AA57,"&gt;500",B53:M57,"=s")</f>
        <v>0</v>
      </c>
      <c r="AG53" s="30">
        <f>COUNTIFS(P53:AA57,"&gt;500",B53:M57,"=g")</f>
        <v>0</v>
      </c>
      <c r="AH53" s="10"/>
    </row>
    <row r="54" spans="1:34">
      <c r="A54" s="16" t="s">
        <v>42</v>
      </c>
      <c r="B54" s="18"/>
      <c r="C54" s="21"/>
      <c r="D54" s="18"/>
      <c r="E54" s="18"/>
      <c r="F54" s="18"/>
      <c r="G54" s="21"/>
      <c r="H54" s="21"/>
      <c r="I54" s="21"/>
      <c r="J54" s="21"/>
      <c r="K54" s="22"/>
      <c r="L54" s="22"/>
      <c r="M54" s="21" t="s">
        <v>17</v>
      </c>
      <c r="N54" s="6"/>
      <c r="O54" s="23" t="s">
        <v>42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18">
        <v>118</v>
      </c>
      <c r="AB54" s="10"/>
      <c r="AC54" s="10"/>
      <c r="AD54" s="10"/>
      <c r="AE54" s="10"/>
      <c r="AF54" s="10"/>
      <c r="AG54" s="10"/>
      <c r="AH54" s="10"/>
    </row>
    <row r="55" spans="1:34">
      <c r="A55" s="16" t="s">
        <v>43</v>
      </c>
      <c r="B55" s="18"/>
      <c r="C55" s="18"/>
      <c r="D55" s="18"/>
      <c r="E55" s="18"/>
      <c r="F55" s="18"/>
      <c r="G55" s="18"/>
      <c r="H55" s="21"/>
      <c r="I55" s="21"/>
      <c r="J55" s="21"/>
      <c r="K55" s="22"/>
      <c r="L55" s="22"/>
      <c r="M55" s="21" t="s">
        <v>18</v>
      </c>
      <c r="N55" s="6"/>
      <c r="O55" s="23" t="s">
        <v>43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18" t="s">
        <v>37</v>
      </c>
      <c r="AB55" s="10"/>
      <c r="AC55" s="10"/>
      <c r="AE55" s="10"/>
      <c r="AF55" s="10"/>
      <c r="AG55" s="10"/>
      <c r="AH55" s="10"/>
    </row>
    <row r="56" spans="1:34">
      <c r="A56" s="16" t="s">
        <v>47</v>
      </c>
      <c r="B56" s="18"/>
      <c r="C56" s="18"/>
      <c r="D56" s="18"/>
      <c r="E56" s="18"/>
      <c r="F56" s="18"/>
      <c r="G56" s="18"/>
      <c r="H56" s="21"/>
      <c r="I56" s="21"/>
      <c r="J56" s="22"/>
      <c r="K56" s="22"/>
      <c r="L56" s="24"/>
      <c r="M56" s="18" t="s">
        <v>18</v>
      </c>
      <c r="N56" s="6"/>
      <c r="O56" s="23" t="s">
        <v>47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18" t="s">
        <v>37</v>
      </c>
      <c r="AB56" s="10"/>
      <c r="AC56" s="10"/>
      <c r="AD56" s="10"/>
      <c r="AE56" s="10"/>
      <c r="AF56" s="10"/>
      <c r="AG56" s="10"/>
      <c r="AH56" s="10"/>
    </row>
    <row r="58" spans="1:34">
      <c r="A58" s="29" t="s">
        <v>122</v>
      </c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 t="s">
        <v>122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4">
      <c r="B59" s="5">
        <v>1</v>
      </c>
      <c r="C59" s="5">
        <v>2</v>
      </c>
      <c r="D59" s="5">
        <v>3</v>
      </c>
      <c r="E59" s="5">
        <v>4</v>
      </c>
      <c r="F59" s="5">
        <v>5</v>
      </c>
      <c r="G59" s="5">
        <v>6</v>
      </c>
      <c r="H59" s="5">
        <v>7</v>
      </c>
      <c r="I59" s="5">
        <v>8</v>
      </c>
      <c r="J59" s="5">
        <v>9</v>
      </c>
      <c r="K59" s="5">
        <v>10</v>
      </c>
      <c r="L59" s="5">
        <v>11</v>
      </c>
      <c r="M59" s="5">
        <v>12</v>
      </c>
      <c r="N59" s="6"/>
      <c r="O59" s="7" t="s">
        <v>8</v>
      </c>
      <c r="P59" s="8">
        <v>1</v>
      </c>
      <c r="Q59" s="8">
        <v>2</v>
      </c>
      <c r="R59" s="8">
        <v>3</v>
      </c>
      <c r="S59" s="8">
        <v>4</v>
      </c>
      <c r="T59" s="8">
        <v>5</v>
      </c>
      <c r="U59" s="8">
        <v>6</v>
      </c>
      <c r="V59" s="8">
        <v>7</v>
      </c>
      <c r="W59" s="8">
        <v>8</v>
      </c>
      <c r="X59" s="8">
        <v>9</v>
      </c>
      <c r="Y59" s="8">
        <v>10</v>
      </c>
      <c r="Z59" s="8">
        <v>11</v>
      </c>
      <c r="AA59" s="8">
        <v>12</v>
      </c>
      <c r="AB59" s="10"/>
      <c r="AC59" s="11" t="s">
        <v>9</v>
      </c>
      <c r="AD59" s="12" t="s">
        <v>10</v>
      </c>
      <c r="AE59" s="13" t="s">
        <v>11</v>
      </c>
      <c r="AF59" s="13" t="s">
        <v>12</v>
      </c>
      <c r="AG59" s="13" t="s">
        <v>13</v>
      </c>
    </row>
    <row r="60" spans="1:34">
      <c r="A60" s="16" t="s">
        <v>14</v>
      </c>
      <c r="B60" s="18" t="s">
        <v>77</v>
      </c>
      <c r="C60" s="20" t="s">
        <v>77</v>
      </c>
      <c r="D60" s="21" t="s">
        <v>123</v>
      </c>
      <c r="E60" s="18" t="s">
        <v>77</v>
      </c>
      <c r="F60" s="18" t="s">
        <v>77</v>
      </c>
      <c r="G60" s="18" t="s">
        <v>77</v>
      </c>
      <c r="H60" s="18" t="s">
        <v>77</v>
      </c>
      <c r="I60" s="21" t="s">
        <v>77</v>
      </c>
      <c r="J60" s="22"/>
      <c r="K60" s="22"/>
      <c r="L60" s="21"/>
      <c r="M60" s="21" t="s">
        <v>124</v>
      </c>
      <c r="N60" s="6"/>
      <c r="O60" s="23" t="s">
        <v>14</v>
      </c>
      <c r="P60" s="18">
        <v>159</v>
      </c>
      <c r="Q60" s="18">
        <v>190</v>
      </c>
      <c r="R60" s="18">
        <v>143</v>
      </c>
      <c r="S60" s="18">
        <v>200</v>
      </c>
      <c r="T60" s="18">
        <v>167</v>
      </c>
      <c r="U60" s="18" t="s">
        <v>77</v>
      </c>
      <c r="V60" s="18">
        <v>176</v>
      </c>
      <c r="W60" s="18">
        <v>158</v>
      </c>
      <c r="X60" s="24"/>
      <c r="Y60" s="24"/>
      <c r="Z60" s="24"/>
      <c r="AA60" s="18">
        <v>118</v>
      </c>
      <c r="AB60" s="10"/>
      <c r="AC60" s="25" t="s">
        <v>21</v>
      </c>
      <c r="AD60" s="26">
        <f>COUNTIFS(P60:AA67,"&gt;0",P60:AA67,"&lt;51")</f>
        <v>0</v>
      </c>
      <c r="AE60" s="27">
        <f>COUNTIFS(P60:AA67,"&gt;0",P60:AA67,"&lt;51",B60:M67,"=i")</f>
        <v>0</v>
      </c>
      <c r="AF60" s="28">
        <f>COUNTIFS(P60:AA67,"&gt;0",P60:AA67,"&lt;51",B60:M67,"=s")</f>
        <v>0</v>
      </c>
      <c r="AG60" s="30">
        <f>COUNTIFS(P60:AA67,"&gt;0",P60:AA67,"&lt;51",B60:M67,"=g")</f>
        <v>0</v>
      </c>
    </row>
    <row r="61" spans="1:34">
      <c r="A61" s="16" t="s">
        <v>32</v>
      </c>
      <c r="B61" s="18" t="s">
        <v>77</v>
      </c>
      <c r="C61" s="18" t="s">
        <v>77</v>
      </c>
      <c r="D61" s="18" t="s">
        <v>77</v>
      </c>
      <c r="E61" s="18" t="s">
        <v>77</v>
      </c>
      <c r="F61" s="18" t="s">
        <v>77</v>
      </c>
      <c r="G61" s="18" t="s">
        <v>77</v>
      </c>
      <c r="H61" s="18" t="s">
        <v>77</v>
      </c>
      <c r="I61" s="21" t="s">
        <v>77</v>
      </c>
      <c r="J61" s="21"/>
      <c r="K61" s="22"/>
      <c r="L61" s="21"/>
      <c r="M61" s="21"/>
      <c r="N61" s="6"/>
      <c r="O61" s="23" t="s">
        <v>32</v>
      </c>
      <c r="P61" s="18">
        <v>162</v>
      </c>
      <c r="Q61" s="18">
        <v>155</v>
      </c>
      <c r="R61" s="18">
        <v>182</v>
      </c>
      <c r="S61" s="18">
        <v>185</v>
      </c>
      <c r="T61" s="18">
        <v>210</v>
      </c>
      <c r="U61" s="18">
        <v>195</v>
      </c>
      <c r="V61" s="18">
        <v>153</v>
      </c>
      <c r="W61" s="18">
        <v>203</v>
      </c>
      <c r="X61" s="24"/>
      <c r="Y61" s="24"/>
      <c r="Z61" s="24"/>
      <c r="AA61" s="24"/>
      <c r="AB61" s="10"/>
      <c r="AC61" s="25" t="s">
        <v>33</v>
      </c>
      <c r="AD61" s="31">
        <f>COUNTIFS(P60:AA67,"&gt;50",P60:AA67,"&lt;126")</f>
        <v>3</v>
      </c>
      <c r="AE61" s="27">
        <f>COUNTIFS(P61:AA68,"&gt;50",P61:AA68,"&lt;126",B61:M68,"=i")</f>
        <v>0</v>
      </c>
      <c r="AF61" s="28">
        <f>COUNTIFS(P61:AA68,"&gt;50",P61:AA68,"&lt;126",B61:M68,"=s")</f>
        <v>0</v>
      </c>
      <c r="AG61" s="30">
        <f>COUNTIFS(P61:AA68,"&gt;50",P61:AA68,"&lt;126",B61:M68,"=g")</f>
        <v>0</v>
      </c>
    </row>
    <row r="62" spans="1:34">
      <c r="A62" s="16" t="s">
        <v>34</v>
      </c>
      <c r="B62" s="18" t="s">
        <v>77</v>
      </c>
      <c r="C62" s="18" t="s">
        <v>77</v>
      </c>
      <c r="D62" s="18" t="s">
        <v>77</v>
      </c>
      <c r="E62" s="18" t="s">
        <v>77</v>
      </c>
      <c r="F62" s="18" t="s">
        <v>77</v>
      </c>
      <c r="G62" s="18" t="s">
        <v>77</v>
      </c>
      <c r="H62" s="18" t="s">
        <v>77</v>
      </c>
      <c r="I62" s="21" t="s">
        <v>77</v>
      </c>
      <c r="J62" s="21"/>
      <c r="K62" s="22"/>
      <c r="L62" s="21"/>
      <c r="M62" s="21"/>
      <c r="N62" s="6"/>
      <c r="O62" s="23" t="s">
        <v>34</v>
      </c>
      <c r="P62" s="18">
        <v>187</v>
      </c>
      <c r="Q62" s="18">
        <v>191</v>
      </c>
      <c r="R62" s="18">
        <v>130</v>
      </c>
      <c r="S62" s="18" t="s">
        <v>77</v>
      </c>
      <c r="T62" s="18">
        <v>227</v>
      </c>
      <c r="U62" s="18">
        <v>202</v>
      </c>
      <c r="V62" s="18">
        <v>247</v>
      </c>
      <c r="W62" s="18">
        <v>221</v>
      </c>
      <c r="X62" s="24"/>
      <c r="Y62" s="24"/>
      <c r="Z62" s="24"/>
      <c r="AA62" s="24"/>
      <c r="AB62" s="10"/>
      <c r="AC62" s="25" t="s">
        <v>36</v>
      </c>
      <c r="AD62" s="31">
        <f>COUNTIFS(P60:AA67,"&gt;125",P60:AA67,"&lt;251")</f>
        <v>32</v>
      </c>
      <c r="AE62" s="27">
        <f>COUNTIFS(P62:AA69,"&gt;125",P62:AA69,"&lt;251",B62:M69,"=i")</f>
        <v>0</v>
      </c>
      <c r="AF62" s="28">
        <f>COUNTIFS(P62:AA69,"&gt;125",P62:AA69,"&lt;251",B62:M69,"=s")</f>
        <v>0</v>
      </c>
      <c r="AG62" s="30">
        <f>COUNTIFS(P62:AA69,"&gt;125",P62:AA69,"&lt;251",B62:M69,"=g")</f>
        <v>0</v>
      </c>
    </row>
    <row r="63" spans="1:34">
      <c r="A63" s="16" t="s">
        <v>38</v>
      </c>
      <c r="B63" s="18" t="s">
        <v>77</v>
      </c>
      <c r="C63" s="18" t="s">
        <v>77</v>
      </c>
      <c r="D63" s="18" t="s">
        <v>77</v>
      </c>
      <c r="E63" s="18" t="s">
        <v>77</v>
      </c>
      <c r="F63" s="18" t="s">
        <v>77</v>
      </c>
      <c r="G63" s="18" t="s">
        <v>77</v>
      </c>
      <c r="H63" s="21" t="s">
        <v>77</v>
      </c>
      <c r="I63" s="21" t="s">
        <v>77</v>
      </c>
      <c r="J63" s="21"/>
      <c r="K63" s="22"/>
      <c r="L63" s="21"/>
      <c r="M63" s="21"/>
      <c r="N63" s="6"/>
      <c r="O63" s="23" t="s">
        <v>38</v>
      </c>
      <c r="P63" s="18">
        <v>210</v>
      </c>
      <c r="Q63" s="18">
        <v>340</v>
      </c>
      <c r="R63" s="18">
        <v>329</v>
      </c>
      <c r="S63" s="18" t="s">
        <v>77</v>
      </c>
      <c r="T63" s="18">
        <v>97</v>
      </c>
      <c r="U63" s="18" t="s">
        <v>77</v>
      </c>
      <c r="V63" s="18" t="s">
        <v>77</v>
      </c>
      <c r="W63" s="18" t="s">
        <v>77</v>
      </c>
      <c r="X63" s="24"/>
      <c r="Y63" s="24"/>
      <c r="Z63" s="24"/>
      <c r="AA63" s="24"/>
      <c r="AB63" s="10"/>
      <c r="AC63" s="25" t="s">
        <v>39</v>
      </c>
      <c r="AD63" s="31">
        <f>COUNTIFS(P60:AA67,"&gt;250",P60:AA67,"&lt;501")</f>
        <v>2</v>
      </c>
      <c r="AE63" s="27">
        <f>COUNTIFS(P63:AA70,"&gt;250",P63:AA70,"&lt;501",B63:M70,"=i")</f>
        <v>0</v>
      </c>
      <c r="AF63" s="28">
        <f>COUNTIFS(P63:AA70,"&gt;250",P63:AA70,"&lt;501",B63:M70,"=s")</f>
        <v>0</v>
      </c>
      <c r="AG63" s="30">
        <f>COUNTIFS(P63:AA70,"&gt;250",P63:AA70,"&lt;501",B63:M70,"=g")</f>
        <v>0</v>
      </c>
    </row>
    <row r="64" spans="1:34">
      <c r="A64" s="16" t="s">
        <v>40</v>
      </c>
      <c r="B64" s="18" t="s">
        <v>77</v>
      </c>
      <c r="C64" s="21" t="s">
        <v>77</v>
      </c>
      <c r="D64" s="18" t="s">
        <v>77</v>
      </c>
      <c r="E64" s="18" t="s">
        <v>77</v>
      </c>
      <c r="F64" s="18" t="s">
        <v>77</v>
      </c>
      <c r="G64" s="21" t="s">
        <v>77</v>
      </c>
      <c r="H64" s="21" t="s">
        <v>77</v>
      </c>
      <c r="I64" s="21" t="s">
        <v>77</v>
      </c>
      <c r="J64" s="21"/>
      <c r="K64" s="22"/>
      <c r="L64" s="22"/>
      <c r="M64" s="21"/>
      <c r="N64" s="6"/>
      <c r="O64" s="23" t="s">
        <v>40</v>
      </c>
      <c r="P64" s="18" t="s">
        <v>77</v>
      </c>
      <c r="Q64" s="18" t="s">
        <v>77</v>
      </c>
      <c r="R64" s="18" t="s">
        <v>77</v>
      </c>
      <c r="S64" s="18" t="s">
        <v>77</v>
      </c>
      <c r="T64" s="18">
        <v>106</v>
      </c>
      <c r="U64" s="18">
        <v>148</v>
      </c>
      <c r="V64" s="18">
        <v>126</v>
      </c>
      <c r="W64" s="18">
        <v>232</v>
      </c>
      <c r="X64" s="24"/>
      <c r="Y64" s="24"/>
      <c r="Z64" s="24"/>
      <c r="AA64" s="24"/>
      <c r="AB64" s="10"/>
      <c r="AC64" s="25" t="s">
        <v>41</v>
      </c>
      <c r="AD64" s="31">
        <f>COUNTIF(P60:AA67,"&gt;500")</f>
        <v>0</v>
      </c>
      <c r="AE64" s="27">
        <f>COUNTIFS(P64:AA71,"&gt;500",B64:M71,"=i")</f>
        <v>0</v>
      </c>
      <c r="AF64" s="28">
        <f>COUNTIFS(P64:AA71,"&gt;500",B64:M71,"=s")</f>
        <v>0</v>
      </c>
      <c r="AG64" s="30">
        <f>COUNTIFS(P64:AA71,"&gt;500",B64:M71,"=g")</f>
        <v>0</v>
      </c>
    </row>
    <row r="65" spans="1:33">
      <c r="A65" s="16" t="s">
        <v>42</v>
      </c>
      <c r="B65" s="18" t="s">
        <v>77</v>
      </c>
      <c r="C65" s="21" t="s">
        <v>77</v>
      </c>
      <c r="D65" s="18" t="s">
        <v>77</v>
      </c>
      <c r="E65" s="18" t="s">
        <v>77</v>
      </c>
      <c r="F65" s="18" t="s">
        <v>77</v>
      </c>
      <c r="G65" s="21" t="s">
        <v>77</v>
      </c>
      <c r="H65" s="21" t="s">
        <v>77</v>
      </c>
      <c r="I65" s="21" t="s">
        <v>77</v>
      </c>
      <c r="J65" s="21"/>
      <c r="K65" s="22"/>
      <c r="L65" s="22"/>
      <c r="M65" s="21"/>
      <c r="N65" s="6"/>
      <c r="O65" s="23" t="s">
        <v>42</v>
      </c>
      <c r="P65" s="18">
        <v>149</v>
      </c>
      <c r="Q65" s="18" t="s">
        <v>77</v>
      </c>
      <c r="R65" s="18">
        <v>146</v>
      </c>
      <c r="S65" s="18">
        <v>143</v>
      </c>
      <c r="T65" s="18">
        <v>196</v>
      </c>
      <c r="U65" s="18">
        <v>195</v>
      </c>
      <c r="V65" s="18">
        <v>156</v>
      </c>
      <c r="W65" s="18" t="s">
        <v>77</v>
      </c>
      <c r="X65" s="24"/>
      <c r="Y65" s="24"/>
      <c r="Z65" s="24"/>
      <c r="AA65" s="24"/>
      <c r="AB65" s="10"/>
      <c r="AC65" s="10"/>
      <c r="AD65" s="10"/>
      <c r="AE65" s="10"/>
      <c r="AF65" s="10"/>
      <c r="AG65" s="10"/>
    </row>
    <row r="66" spans="1:33">
      <c r="A66" s="16" t="s">
        <v>43</v>
      </c>
      <c r="B66" s="18"/>
      <c r="C66" s="18"/>
      <c r="D66" s="18"/>
      <c r="E66" s="18"/>
      <c r="F66" s="18"/>
      <c r="G66" s="18"/>
      <c r="H66" s="21"/>
      <c r="I66" s="21"/>
      <c r="J66" s="21"/>
      <c r="K66" s="22"/>
      <c r="L66" s="22"/>
      <c r="M66" s="21"/>
      <c r="N66" s="6"/>
      <c r="O66" s="23" t="s">
        <v>43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10"/>
      <c r="AC66" s="10"/>
      <c r="AD66" s="10"/>
      <c r="AE66" s="10"/>
      <c r="AF66" s="10"/>
      <c r="AG66" s="10"/>
    </row>
    <row r="67" spans="1:33">
      <c r="A67" s="16" t="s">
        <v>47</v>
      </c>
      <c r="B67" s="18"/>
      <c r="C67" s="18"/>
      <c r="D67" s="18"/>
      <c r="E67" s="18"/>
      <c r="F67" s="18"/>
      <c r="G67" s="18"/>
      <c r="H67" s="21"/>
      <c r="I67" s="21"/>
      <c r="J67" s="22"/>
      <c r="K67" s="22"/>
      <c r="L67" s="24"/>
      <c r="M67" s="18"/>
      <c r="N67" s="6"/>
      <c r="O67" s="23" t="s">
        <v>47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10"/>
      <c r="AC67" s="10"/>
      <c r="AD67" s="10"/>
      <c r="AE67" s="10"/>
      <c r="AF67" s="10"/>
      <c r="AG67" s="10"/>
    </row>
    <row r="69" spans="1:33">
      <c r="A69" s="29" t="s">
        <v>125</v>
      </c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 t="s">
        <v>125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>
      <c r="B70" s="5">
        <v>1</v>
      </c>
      <c r="C70" s="5">
        <v>2</v>
      </c>
      <c r="D70" s="5">
        <v>3</v>
      </c>
      <c r="E70" s="5">
        <v>4</v>
      </c>
      <c r="F70" s="5">
        <v>5</v>
      </c>
      <c r="G70" s="5">
        <v>6</v>
      </c>
      <c r="H70" s="5">
        <v>7</v>
      </c>
      <c r="I70" s="5">
        <v>8</v>
      </c>
      <c r="J70" s="5">
        <v>9</v>
      </c>
      <c r="K70" s="5">
        <v>10</v>
      </c>
      <c r="L70" s="5">
        <v>11</v>
      </c>
      <c r="M70" s="5">
        <v>12</v>
      </c>
      <c r="N70" s="6"/>
      <c r="O70" s="7" t="s">
        <v>8</v>
      </c>
      <c r="P70" s="8">
        <v>1</v>
      </c>
      <c r="Q70" s="8">
        <v>2</v>
      </c>
      <c r="R70" s="8">
        <v>3</v>
      </c>
      <c r="S70" s="8">
        <v>4</v>
      </c>
      <c r="T70" s="8">
        <v>5</v>
      </c>
      <c r="U70" s="8">
        <v>6</v>
      </c>
      <c r="V70" s="8">
        <v>7</v>
      </c>
      <c r="W70" s="8">
        <v>8</v>
      </c>
      <c r="X70" s="8">
        <v>9</v>
      </c>
      <c r="Y70" s="8">
        <v>10</v>
      </c>
      <c r="Z70" s="8">
        <v>11</v>
      </c>
      <c r="AA70" s="8">
        <v>12</v>
      </c>
      <c r="AB70" s="10"/>
      <c r="AC70" s="11" t="s">
        <v>9</v>
      </c>
      <c r="AD70" s="12" t="s">
        <v>10</v>
      </c>
      <c r="AE70" s="13" t="s">
        <v>11</v>
      </c>
      <c r="AF70" s="13" t="s">
        <v>12</v>
      </c>
      <c r="AG70" s="13" t="s">
        <v>13</v>
      </c>
    </row>
    <row r="71" spans="1:33">
      <c r="A71" s="16" t="s">
        <v>14</v>
      </c>
      <c r="B71" s="18" t="s">
        <v>77</v>
      </c>
      <c r="C71" s="20" t="s">
        <v>77</v>
      </c>
      <c r="D71" s="21" t="s">
        <v>77</v>
      </c>
      <c r="E71" s="18" t="s">
        <v>126</v>
      </c>
      <c r="F71" s="18" t="s">
        <v>77</v>
      </c>
      <c r="G71" s="18" t="s">
        <v>77</v>
      </c>
      <c r="H71" s="18"/>
      <c r="I71" s="21"/>
      <c r="J71" s="22"/>
      <c r="K71" s="22"/>
      <c r="L71" s="21"/>
      <c r="M71" s="21" t="s">
        <v>127</v>
      </c>
      <c r="N71" s="6"/>
      <c r="O71" s="23" t="s">
        <v>14</v>
      </c>
      <c r="P71" s="18">
        <v>221</v>
      </c>
      <c r="Q71" s="18">
        <v>178</v>
      </c>
      <c r="R71" s="18">
        <v>358</v>
      </c>
      <c r="S71" s="18">
        <v>264</v>
      </c>
      <c r="T71" s="18">
        <v>279</v>
      </c>
      <c r="U71" s="18">
        <v>261</v>
      </c>
      <c r="V71" s="18"/>
      <c r="W71" s="18"/>
      <c r="X71" s="24"/>
      <c r="Y71" s="24"/>
      <c r="Z71" s="24"/>
      <c r="AA71" s="18">
        <v>246</v>
      </c>
      <c r="AB71" s="10"/>
      <c r="AC71" s="25" t="s">
        <v>21</v>
      </c>
      <c r="AD71" s="26">
        <f>COUNTIFS(P71:AA78,"&gt;0",P71:AA78,"&lt;51")</f>
        <v>0</v>
      </c>
      <c r="AE71" s="27">
        <f>COUNTIFS(P71:AA78,"&gt;0",P71:AA78,"&lt;51",B71:M78,"=i")</f>
        <v>0</v>
      </c>
      <c r="AF71" s="28">
        <f>COUNTIFS(P71:AA78,"&gt;0",P71:AA78,"&lt;51",B71:M78,"=s")</f>
        <v>0</v>
      </c>
      <c r="AG71" s="30">
        <f>COUNTIFS(P71:AA78,"&gt;0",P71:AA78,"&lt;51",B71:M78,"=g")</f>
        <v>0</v>
      </c>
    </row>
    <row r="72" spans="1:33">
      <c r="A72" s="16" t="s">
        <v>32</v>
      </c>
      <c r="B72" s="18" t="s">
        <v>77</v>
      </c>
      <c r="C72" s="18" t="s">
        <v>77</v>
      </c>
      <c r="D72" s="18" t="s">
        <v>77</v>
      </c>
      <c r="E72" s="18" t="s">
        <v>77</v>
      </c>
      <c r="F72" s="18" t="s">
        <v>77</v>
      </c>
      <c r="G72" s="18" t="s">
        <v>77</v>
      </c>
      <c r="H72" s="18"/>
      <c r="I72" s="21"/>
      <c r="J72" s="21"/>
      <c r="K72" s="22"/>
      <c r="L72" s="21"/>
      <c r="M72" s="21"/>
      <c r="N72" s="6"/>
      <c r="O72" s="23" t="s">
        <v>32</v>
      </c>
      <c r="P72" s="18">
        <v>168</v>
      </c>
      <c r="Q72" s="18">
        <v>198</v>
      </c>
      <c r="R72" s="18">
        <v>214</v>
      </c>
      <c r="S72" s="18">
        <v>285</v>
      </c>
      <c r="T72" s="18" t="s">
        <v>77</v>
      </c>
      <c r="U72" s="18">
        <v>288</v>
      </c>
      <c r="V72" s="18"/>
      <c r="W72" s="18"/>
      <c r="X72" s="24"/>
      <c r="Y72" s="24"/>
      <c r="Z72" s="24"/>
      <c r="AA72" s="24"/>
      <c r="AB72" s="10"/>
      <c r="AC72" s="25" t="s">
        <v>33</v>
      </c>
      <c r="AD72" s="31">
        <f>COUNTIFS(P71:AA78,"&gt;50",P71:AA78,"&lt;126")</f>
        <v>0</v>
      </c>
      <c r="AE72" s="27">
        <f>COUNTIFS(P72:AA79,"&gt;50",P72:AA79,"&lt;126",B72:M79,"=i")</f>
        <v>0</v>
      </c>
      <c r="AF72" s="28">
        <f>COUNTIFS(P72:AA79,"&gt;50",P72:AA79,"&lt;126",B72:M79,"=s")</f>
        <v>0</v>
      </c>
      <c r="AG72" s="30">
        <f>COUNTIFS(P72:AA79,"&gt;50",P72:AA79,"&lt;126",B72:M79,"=g")</f>
        <v>0</v>
      </c>
    </row>
    <row r="73" spans="1:33">
      <c r="A73" s="16" t="s">
        <v>34</v>
      </c>
      <c r="B73" s="18" t="s">
        <v>77</v>
      </c>
      <c r="C73" s="18" t="s">
        <v>77</v>
      </c>
      <c r="D73" s="18" t="s">
        <v>77</v>
      </c>
      <c r="E73" s="18" t="s">
        <v>77</v>
      </c>
      <c r="F73" s="18" t="s">
        <v>77</v>
      </c>
      <c r="G73" s="18" t="s">
        <v>77</v>
      </c>
      <c r="H73" s="18"/>
      <c r="I73" s="21"/>
      <c r="J73" s="21"/>
      <c r="K73" s="22"/>
      <c r="L73" s="21"/>
      <c r="M73" s="21"/>
      <c r="N73" s="6"/>
      <c r="O73" s="23" t="s">
        <v>34</v>
      </c>
      <c r="P73" s="18">
        <v>215</v>
      </c>
      <c r="Q73" s="18">
        <v>163</v>
      </c>
      <c r="R73" s="18">
        <v>232</v>
      </c>
      <c r="S73" s="18">
        <v>252</v>
      </c>
      <c r="T73" s="18">
        <v>250</v>
      </c>
      <c r="U73" s="18">
        <v>319</v>
      </c>
      <c r="V73" s="18"/>
      <c r="W73" s="18"/>
      <c r="X73" s="24"/>
      <c r="Y73" s="24"/>
      <c r="Z73" s="24"/>
      <c r="AA73" s="24"/>
      <c r="AB73" s="10"/>
      <c r="AC73" s="25" t="s">
        <v>36</v>
      </c>
      <c r="AD73" s="31">
        <f>COUNTIFS(P71:AA78,"&gt;125",P71:AA78,"&lt;251")</f>
        <v>28</v>
      </c>
      <c r="AE73" s="27">
        <f>COUNTIFS(P73:AA80,"&gt;125",P73:AA80,"&lt;251",B73:M80,"=i")</f>
        <v>0</v>
      </c>
      <c r="AF73" s="28">
        <f>COUNTIFS(P73:AA80,"&gt;125",P73:AA80,"&lt;251",B73:M80,"=s")</f>
        <v>0</v>
      </c>
      <c r="AG73" s="30">
        <f>COUNTIFS(P73:AA80,"&gt;125",P73:AA80,"&lt;251",B73:M80,"=g")</f>
        <v>0</v>
      </c>
    </row>
    <row r="74" spans="1:33">
      <c r="A74" s="16" t="s">
        <v>38</v>
      </c>
      <c r="B74" s="18" t="s">
        <v>77</v>
      </c>
      <c r="C74" s="18" t="s">
        <v>77</v>
      </c>
      <c r="D74" s="18" t="s">
        <v>77</v>
      </c>
      <c r="E74" s="18" t="s">
        <v>77</v>
      </c>
      <c r="F74" s="18" t="s">
        <v>77</v>
      </c>
      <c r="G74" s="18" t="s">
        <v>77</v>
      </c>
      <c r="H74" s="21"/>
      <c r="I74" s="21"/>
      <c r="J74" s="21"/>
      <c r="K74" s="22"/>
      <c r="L74" s="21"/>
      <c r="M74" s="21"/>
      <c r="N74" s="6"/>
      <c r="O74" s="23" t="s">
        <v>38</v>
      </c>
      <c r="P74" s="18">
        <v>226</v>
      </c>
      <c r="Q74" s="18">
        <v>199</v>
      </c>
      <c r="R74" s="18">
        <v>168</v>
      </c>
      <c r="S74" s="18">
        <v>257</v>
      </c>
      <c r="T74" s="18" t="s">
        <v>77</v>
      </c>
      <c r="U74" s="18">
        <v>222</v>
      </c>
      <c r="V74" s="18"/>
      <c r="W74" s="18"/>
      <c r="X74" s="24"/>
      <c r="Y74" s="24"/>
      <c r="Z74" s="24"/>
      <c r="AA74" s="24"/>
      <c r="AB74" s="10"/>
      <c r="AC74" s="25" t="s">
        <v>39</v>
      </c>
      <c r="AD74" s="31">
        <f>COUNTIFS(P71:AA78,"&gt;250",P71:AA78,"&lt;501")</f>
        <v>13</v>
      </c>
      <c r="AE74" s="27">
        <f>COUNTIFS(P74:AA81,"&gt;250",P74:AA81,"&lt;501",B74:M81,"=i")</f>
        <v>0</v>
      </c>
      <c r="AF74" s="28">
        <f>COUNTIFS(P74:AA81,"&gt;250",P74:AA81,"&lt;501",B74:M81,"=s")</f>
        <v>0</v>
      </c>
      <c r="AG74" s="30">
        <f>COUNTIFS(P74:AA81,"&gt;250",P74:AA81,"&lt;501",B74:M81,"=g")</f>
        <v>0</v>
      </c>
    </row>
    <row r="75" spans="1:33">
      <c r="A75" s="16" t="s">
        <v>40</v>
      </c>
      <c r="B75" s="18" t="s">
        <v>77</v>
      </c>
      <c r="C75" s="21" t="s">
        <v>77</v>
      </c>
      <c r="D75" s="18" t="s">
        <v>77</v>
      </c>
      <c r="E75" s="18" t="s">
        <v>77</v>
      </c>
      <c r="F75" s="18" t="s">
        <v>77</v>
      </c>
      <c r="G75" s="21" t="s">
        <v>77</v>
      </c>
      <c r="H75" s="21"/>
      <c r="I75" s="21"/>
      <c r="J75" s="21"/>
      <c r="K75" s="22"/>
      <c r="L75" s="22"/>
      <c r="M75" s="21"/>
      <c r="N75" s="6"/>
      <c r="O75" s="23" t="s">
        <v>40</v>
      </c>
      <c r="P75" s="18">
        <v>153</v>
      </c>
      <c r="Q75" s="18">
        <v>196</v>
      </c>
      <c r="R75" s="18">
        <v>210</v>
      </c>
      <c r="S75" s="18">
        <v>240</v>
      </c>
      <c r="T75" s="18">
        <v>231</v>
      </c>
      <c r="U75" s="18">
        <v>265</v>
      </c>
      <c r="V75" s="18"/>
      <c r="W75" s="18"/>
      <c r="X75" s="24"/>
      <c r="Y75" s="24"/>
      <c r="Z75" s="24"/>
      <c r="AA75" s="24"/>
      <c r="AB75" s="10"/>
      <c r="AC75" s="25" t="s">
        <v>41</v>
      </c>
      <c r="AD75" s="31">
        <f>COUNTIF(P71:AA78,"&gt;500")</f>
        <v>0</v>
      </c>
      <c r="AE75" s="27">
        <f>COUNTIFS(P75:AA82,"&gt;500",B75:M82,"=i")</f>
        <v>0</v>
      </c>
      <c r="AF75" s="28">
        <f>COUNTIFS(P75:AA82,"&gt;500",B75:M82,"=s")</f>
        <v>0</v>
      </c>
      <c r="AG75" s="30">
        <f>COUNTIFS(P75:AA82,"&gt;500",B75:M82,"=g")</f>
        <v>0</v>
      </c>
    </row>
    <row r="76" spans="1:33">
      <c r="A76" s="16" t="s">
        <v>42</v>
      </c>
      <c r="B76" s="18" t="s">
        <v>77</v>
      </c>
      <c r="C76" s="21" t="s">
        <v>77</v>
      </c>
      <c r="D76" s="18" t="s">
        <v>77</v>
      </c>
      <c r="E76" s="18" t="s">
        <v>77</v>
      </c>
      <c r="F76" s="18" t="s">
        <v>77</v>
      </c>
      <c r="G76" s="21" t="s">
        <v>77</v>
      </c>
      <c r="H76" s="21"/>
      <c r="I76" s="21"/>
      <c r="J76" s="21"/>
      <c r="K76" s="22"/>
      <c r="L76" s="22"/>
      <c r="M76" s="21"/>
      <c r="N76" s="6"/>
      <c r="O76" s="23" t="s">
        <v>42</v>
      </c>
      <c r="P76" s="18">
        <v>171</v>
      </c>
      <c r="Q76" s="18">
        <v>195</v>
      </c>
      <c r="R76" s="18">
        <v>210</v>
      </c>
      <c r="S76" s="18">
        <v>380</v>
      </c>
      <c r="T76" s="18">
        <v>240</v>
      </c>
      <c r="U76" s="18">
        <v>280</v>
      </c>
      <c r="V76" s="18"/>
      <c r="W76" s="18"/>
      <c r="X76" s="24"/>
      <c r="Y76" s="24"/>
      <c r="Z76" s="24"/>
      <c r="AA76" s="24"/>
      <c r="AB76" s="10"/>
      <c r="AC76" s="10"/>
      <c r="AD76" s="10"/>
      <c r="AE76" s="10"/>
      <c r="AF76" s="10"/>
      <c r="AG76" s="10"/>
    </row>
    <row r="77" spans="1:33">
      <c r="A77" s="16" t="s">
        <v>43</v>
      </c>
      <c r="B77" s="18" t="s">
        <v>77</v>
      </c>
      <c r="C77" s="18" t="s">
        <v>77</v>
      </c>
      <c r="D77" s="18" t="s">
        <v>77</v>
      </c>
      <c r="E77" s="18" t="s">
        <v>77</v>
      </c>
      <c r="F77" s="18" t="s">
        <v>77</v>
      </c>
      <c r="G77" s="18" t="s">
        <v>77</v>
      </c>
      <c r="H77" s="21"/>
      <c r="I77" s="21"/>
      <c r="J77" s="21"/>
      <c r="K77" s="22"/>
      <c r="L77" s="22"/>
      <c r="M77" s="21"/>
      <c r="N77" s="6"/>
      <c r="O77" s="23" t="s">
        <v>43</v>
      </c>
      <c r="P77" s="18">
        <v>205</v>
      </c>
      <c r="Q77" s="18">
        <v>187</v>
      </c>
      <c r="R77" s="18">
        <v>177</v>
      </c>
      <c r="S77" s="18">
        <v>216</v>
      </c>
      <c r="T77" s="18">
        <v>221</v>
      </c>
      <c r="U77" s="18">
        <v>346</v>
      </c>
      <c r="V77" s="24"/>
      <c r="W77" s="24"/>
      <c r="X77" s="24"/>
      <c r="Y77" s="24"/>
      <c r="Z77" s="24"/>
      <c r="AA77" s="24"/>
      <c r="AB77" s="10"/>
      <c r="AC77" s="10"/>
      <c r="AD77" s="10"/>
      <c r="AE77" s="10"/>
      <c r="AF77" s="10"/>
      <c r="AG77" s="10"/>
    </row>
    <row r="78" spans="1:33">
      <c r="A78" s="16" t="s">
        <v>47</v>
      </c>
      <c r="B78" s="18"/>
      <c r="C78" s="18"/>
      <c r="D78" s="18"/>
      <c r="E78" s="18"/>
      <c r="F78" s="18"/>
      <c r="G78" s="18"/>
      <c r="H78" s="21"/>
      <c r="I78" s="21"/>
      <c r="J78" s="22"/>
      <c r="K78" s="22"/>
      <c r="L78" s="24"/>
      <c r="M78" s="18"/>
      <c r="N78" s="6"/>
      <c r="O78" s="23" t="s">
        <v>47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10"/>
      <c r="AC78" s="10"/>
      <c r="AD78" s="10"/>
      <c r="AE78" s="10"/>
      <c r="AF78" s="10"/>
      <c r="AG78" s="10"/>
    </row>
    <row r="81" spans="1:33">
      <c r="A81" s="29" t="s">
        <v>128</v>
      </c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" t="s">
        <v>128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>
      <c r="B82" s="5">
        <v>1</v>
      </c>
      <c r="C82" s="5">
        <v>2</v>
      </c>
      <c r="D82" s="5">
        <v>3</v>
      </c>
      <c r="E82" s="5">
        <v>4</v>
      </c>
      <c r="F82" s="5">
        <v>5</v>
      </c>
      <c r="G82" s="5">
        <v>6</v>
      </c>
      <c r="H82" s="5">
        <v>7</v>
      </c>
      <c r="I82" s="5">
        <v>8</v>
      </c>
      <c r="J82" s="5">
        <v>9</v>
      </c>
      <c r="K82" s="5">
        <v>10</v>
      </c>
      <c r="L82" s="5">
        <v>11</v>
      </c>
      <c r="M82" s="5">
        <v>12</v>
      </c>
      <c r="N82" s="6"/>
      <c r="O82" s="7" t="s">
        <v>8</v>
      </c>
      <c r="P82" s="8">
        <v>1</v>
      </c>
      <c r="Q82" s="8">
        <v>2</v>
      </c>
      <c r="R82" s="8">
        <v>3</v>
      </c>
      <c r="S82" s="8">
        <v>4</v>
      </c>
      <c r="T82" s="8">
        <v>5</v>
      </c>
      <c r="U82" s="8">
        <v>6</v>
      </c>
      <c r="V82" s="8">
        <v>7</v>
      </c>
      <c r="W82" s="8">
        <v>8</v>
      </c>
      <c r="X82" s="8">
        <v>9</v>
      </c>
      <c r="Y82" s="8">
        <v>10</v>
      </c>
      <c r="Z82" s="8">
        <v>11</v>
      </c>
      <c r="AA82" s="8">
        <v>12</v>
      </c>
      <c r="AB82" s="10"/>
      <c r="AC82" s="11" t="s">
        <v>9</v>
      </c>
      <c r="AD82" s="12" t="s">
        <v>10</v>
      </c>
      <c r="AE82" s="13" t="s">
        <v>11</v>
      </c>
      <c r="AF82" s="13" t="s">
        <v>12</v>
      </c>
      <c r="AG82" s="13" t="s">
        <v>13</v>
      </c>
    </row>
    <row r="83" spans="1:33">
      <c r="A83" s="16" t="s">
        <v>14</v>
      </c>
      <c r="B83" s="18" t="s">
        <v>77</v>
      </c>
      <c r="C83" s="20" t="s">
        <v>77</v>
      </c>
      <c r="D83" s="21" t="s">
        <v>123</v>
      </c>
      <c r="E83" s="18" t="s">
        <v>77</v>
      </c>
      <c r="F83" s="18" t="s">
        <v>77</v>
      </c>
      <c r="G83" s="18" t="s">
        <v>77</v>
      </c>
      <c r="H83" s="18" t="s">
        <v>77</v>
      </c>
      <c r="I83" s="21"/>
      <c r="J83" s="22"/>
      <c r="K83" s="22"/>
      <c r="L83" s="21"/>
      <c r="M83" s="21" t="s">
        <v>124</v>
      </c>
      <c r="N83" s="6"/>
      <c r="O83" s="23" t="s">
        <v>14</v>
      </c>
      <c r="P83" s="18">
        <v>111</v>
      </c>
      <c r="Q83" s="18" t="s">
        <v>77</v>
      </c>
      <c r="R83" s="18">
        <v>167</v>
      </c>
      <c r="S83" s="18">
        <v>200</v>
      </c>
      <c r="T83" s="18">
        <v>203</v>
      </c>
      <c r="U83" s="18">
        <v>165</v>
      </c>
      <c r="V83" s="18" t="s">
        <v>77</v>
      </c>
      <c r="W83" s="18" t="s">
        <v>77</v>
      </c>
      <c r="X83" s="24"/>
      <c r="Y83" s="24"/>
      <c r="Z83" s="24"/>
      <c r="AA83" s="18">
        <v>200</v>
      </c>
      <c r="AB83" s="10"/>
      <c r="AC83" s="25" t="s">
        <v>21</v>
      </c>
      <c r="AD83" s="26">
        <f>COUNTIFS(P83:AA90,"&gt;0",P83:AA90,"&lt;51")</f>
        <v>0</v>
      </c>
      <c r="AE83" s="27">
        <f>COUNTIFS(P83:AA90,"&gt;0",P83:AA90,"&lt;51",B83:M90,"=i")</f>
        <v>0</v>
      </c>
      <c r="AF83" s="28">
        <f>COUNTIFS(P83:AA90,"&gt;0",P83:AA90,"&lt;51",B83:M90,"=s")</f>
        <v>0</v>
      </c>
      <c r="AG83" s="30">
        <f>COUNTIFS(P83:AA90,"&gt;0",P83:AA90,"&lt;51",B83:M90,"=g")</f>
        <v>0</v>
      </c>
    </row>
    <row r="84" spans="1:33">
      <c r="A84" s="16" t="s">
        <v>32</v>
      </c>
      <c r="B84" s="18" t="s">
        <v>77</v>
      </c>
      <c r="C84" s="18" t="s">
        <v>77</v>
      </c>
      <c r="D84" s="18" t="s">
        <v>77</v>
      </c>
      <c r="E84" s="18" t="s">
        <v>77</v>
      </c>
      <c r="F84" s="18" t="s">
        <v>77</v>
      </c>
      <c r="G84" s="18" t="s">
        <v>77</v>
      </c>
      <c r="H84" s="18" t="s">
        <v>77</v>
      </c>
      <c r="I84" s="21"/>
      <c r="J84" s="21"/>
      <c r="K84" s="22"/>
      <c r="L84" s="21"/>
      <c r="M84" s="21"/>
      <c r="N84" s="6"/>
      <c r="O84" s="23" t="s">
        <v>32</v>
      </c>
      <c r="P84" s="18">
        <v>99</v>
      </c>
      <c r="Q84" s="18">
        <v>157</v>
      </c>
      <c r="R84" s="18">
        <v>127</v>
      </c>
      <c r="S84" s="18">
        <v>116</v>
      </c>
      <c r="T84" s="18">
        <v>130</v>
      </c>
      <c r="U84" s="18">
        <v>197</v>
      </c>
      <c r="V84" s="18" t="s">
        <v>77</v>
      </c>
      <c r="W84" s="18">
        <v>188</v>
      </c>
      <c r="X84" s="24"/>
      <c r="Y84" s="24"/>
      <c r="Z84" s="24"/>
      <c r="AA84" s="18">
        <v>116</v>
      </c>
      <c r="AB84" s="10"/>
      <c r="AC84" s="25" t="s">
        <v>33</v>
      </c>
      <c r="AD84" s="31">
        <f>COUNTIFS(P83:AA90,"&gt;50",P83:AA90,"&lt;126")</f>
        <v>6</v>
      </c>
      <c r="AE84" s="27">
        <f>COUNTIFS(P84:AA91,"&gt;50",P84:AA91,"&lt;126",B84:M91,"=i")</f>
        <v>0</v>
      </c>
      <c r="AF84" s="28">
        <f>COUNTIFS(P84:AA91,"&gt;50",P84:AA91,"&lt;126",B84:M91,"=s")</f>
        <v>0</v>
      </c>
      <c r="AG84" s="30">
        <f>COUNTIFS(P84:AA91,"&gt;50",P84:AA91,"&lt;126",B84:M91,"=g")</f>
        <v>0</v>
      </c>
    </row>
    <row r="85" spans="1:33">
      <c r="A85" s="16" t="s">
        <v>34</v>
      </c>
      <c r="B85" s="18" t="s">
        <v>77</v>
      </c>
      <c r="C85" s="18" t="s">
        <v>77</v>
      </c>
      <c r="D85" s="18" t="s">
        <v>77</v>
      </c>
      <c r="E85" s="18" t="s">
        <v>77</v>
      </c>
      <c r="F85" s="18" t="s">
        <v>77</v>
      </c>
      <c r="G85" s="18" t="s">
        <v>77</v>
      </c>
      <c r="H85" s="18" t="s">
        <v>77</v>
      </c>
      <c r="I85" s="21"/>
      <c r="J85" s="21"/>
      <c r="K85" s="22"/>
      <c r="L85" s="21"/>
      <c r="M85" s="21"/>
      <c r="N85" s="6"/>
      <c r="O85" s="23" t="s">
        <v>34</v>
      </c>
      <c r="P85" s="18" t="s">
        <v>77</v>
      </c>
      <c r="Q85" s="18">
        <v>129</v>
      </c>
      <c r="R85" s="18" t="s">
        <v>77</v>
      </c>
      <c r="S85" s="18">
        <v>153</v>
      </c>
      <c r="T85" s="18">
        <v>165</v>
      </c>
      <c r="U85" s="18">
        <v>182</v>
      </c>
      <c r="V85" s="18">
        <v>172</v>
      </c>
      <c r="W85" s="18">
        <v>166</v>
      </c>
      <c r="X85" s="24"/>
      <c r="Y85" s="24"/>
      <c r="Z85" s="24"/>
      <c r="AA85" s="24"/>
      <c r="AB85" s="10"/>
      <c r="AC85" s="25" t="s">
        <v>36</v>
      </c>
      <c r="AD85" s="31">
        <f>COUNTIFS(P83:AA90,"&gt;125",P83:AA90,"&lt;251")</f>
        <v>35</v>
      </c>
      <c r="AE85" s="27">
        <f>COUNTIFS(P85:AA92,"&gt;125",P85:AA92,"&lt;251",B85:M92,"=i")</f>
        <v>0</v>
      </c>
      <c r="AF85" s="28">
        <f>COUNTIFS(P85:AA92,"&gt;125",P85:AA92,"&lt;251",B85:M92,"=s")</f>
        <v>0</v>
      </c>
      <c r="AG85" s="30">
        <f>COUNTIFS(P85:AA92,"&gt;125",P85:AA92,"&lt;251",B85:M92,"=g")</f>
        <v>0</v>
      </c>
    </row>
    <row r="86" spans="1:33">
      <c r="A86" s="16" t="s">
        <v>38</v>
      </c>
      <c r="B86" s="18" t="s">
        <v>77</v>
      </c>
      <c r="C86" s="18" t="s">
        <v>77</v>
      </c>
      <c r="D86" s="18" t="s">
        <v>77</v>
      </c>
      <c r="E86" s="18" t="s">
        <v>77</v>
      </c>
      <c r="F86" s="18" t="s">
        <v>77</v>
      </c>
      <c r="G86" s="18" t="s">
        <v>77</v>
      </c>
      <c r="H86" s="21" t="s">
        <v>77</v>
      </c>
      <c r="I86" s="21"/>
      <c r="J86" s="21"/>
      <c r="K86" s="22"/>
      <c r="L86" s="21"/>
      <c r="M86" s="21"/>
      <c r="N86" s="6"/>
      <c r="O86" s="23" t="s">
        <v>38</v>
      </c>
      <c r="P86" s="18">
        <v>139</v>
      </c>
      <c r="Q86" s="18">
        <v>182</v>
      </c>
      <c r="R86" s="18">
        <v>213</v>
      </c>
      <c r="S86" s="18">
        <v>132</v>
      </c>
      <c r="T86" s="18">
        <v>173</v>
      </c>
      <c r="U86" s="18">
        <v>187</v>
      </c>
      <c r="V86" s="18">
        <v>135</v>
      </c>
      <c r="W86" s="18" t="s">
        <v>77</v>
      </c>
      <c r="X86" s="24"/>
      <c r="Y86" s="24"/>
      <c r="Z86" s="24"/>
      <c r="AA86" s="24"/>
      <c r="AB86" s="10"/>
      <c r="AC86" s="25" t="s">
        <v>39</v>
      </c>
      <c r="AD86" s="31">
        <f>COUNTIFS(P83:AA90,"&gt;250",P83:AA90,"&lt;501")</f>
        <v>0</v>
      </c>
      <c r="AE86" s="27">
        <f>COUNTIFS(P86:AA93,"&gt;250",P86:AA93,"&lt;501",B86:M93,"=i")</f>
        <v>0</v>
      </c>
      <c r="AF86" s="28">
        <f>COUNTIFS(P86:AA93,"&gt;250",P86:AA93,"&lt;501",B86:M93,"=s")</f>
        <v>0</v>
      </c>
      <c r="AG86" s="30">
        <f>COUNTIFS(P86:AA93,"&gt;250",P86:AA93,"&lt;501",B86:M93,"=g")</f>
        <v>0</v>
      </c>
    </row>
    <row r="87" spans="1:33">
      <c r="A87" s="16" t="s">
        <v>40</v>
      </c>
      <c r="B87" s="18" t="s">
        <v>77</v>
      </c>
      <c r="C87" s="21" t="s">
        <v>77</v>
      </c>
      <c r="D87" s="18" t="s">
        <v>77</v>
      </c>
      <c r="E87" s="18" t="s">
        <v>77</v>
      </c>
      <c r="F87" s="18" t="s">
        <v>77</v>
      </c>
      <c r="G87" s="21" t="s">
        <v>77</v>
      </c>
      <c r="H87" s="21" t="s">
        <v>77</v>
      </c>
      <c r="I87" s="21"/>
      <c r="J87" s="21"/>
      <c r="K87" s="22"/>
      <c r="L87" s="22"/>
      <c r="M87" s="21"/>
      <c r="N87" s="6"/>
      <c r="O87" s="23" t="s">
        <v>40</v>
      </c>
      <c r="P87" s="18" t="s">
        <v>77</v>
      </c>
      <c r="Q87" s="18">
        <v>126</v>
      </c>
      <c r="R87" s="18" t="s">
        <v>77</v>
      </c>
      <c r="S87" s="18">
        <v>160</v>
      </c>
      <c r="T87" s="18">
        <v>118</v>
      </c>
      <c r="U87" s="18">
        <v>139</v>
      </c>
      <c r="V87" s="18">
        <v>164</v>
      </c>
      <c r="W87" s="18">
        <v>140</v>
      </c>
      <c r="X87" s="24"/>
      <c r="Y87" s="24"/>
      <c r="Z87" s="24"/>
      <c r="AA87" s="24"/>
      <c r="AB87" s="10"/>
      <c r="AC87" s="25" t="s">
        <v>41</v>
      </c>
      <c r="AD87" s="31">
        <f>COUNTIF(P83:AA90,"&gt;500")</f>
        <v>0</v>
      </c>
      <c r="AE87" s="27">
        <f>COUNTIFS(P87:AA94,"&gt;500",B87:M94,"=i")</f>
        <v>0</v>
      </c>
      <c r="AF87" s="28">
        <f>COUNTIFS(P87:AA94,"&gt;500",B87:M94,"=s")</f>
        <v>0</v>
      </c>
      <c r="AG87" s="30">
        <f>COUNTIFS(P87:AA94,"&gt;500",B87:M94,"=g")</f>
        <v>0</v>
      </c>
    </row>
    <row r="88" spans="1:33">
      <c r="A88" s="16" t="s">
        <v>42</v>
      </c>
      <c r="B88" s="18" t="s">
        <v>77</v>
      </c>
      <c r="C88" s="21" t="s">
        <v>77</v>
      </c>
      <c r="D88" s="18" t="s">
        <v>77</v>
      </c>
      <c r="E88" s="18" t="s">
        <v>77</v>
      </c>
      <c r="F88" s="18" t="s">
        <v>77</v>
      </c>
      <c r="G88" s="21" t="s">
        <v>77</v>
      </c>
      <c r="H88" s="21" t="s">
        <v>77</v>
      </c>
      <c r="I88" s="21"/>
      <c r="J88" s="21"/>
      <c r="K88" s="22"/>
      <c r="L88" s="22"/>
      <c r="M88" s="21"/>
      <c r="N88" s="6"/>
      <c r="O88" s="23" t="s">
        <v>42</v>
      </c>
      <c r="P88" s="18">
        <v>174</v>
      </c>
      <c r="Q88" s="18">
        <v>203</v>
      </c>
      <c r="R88" s="18">
        <v>146</v>
      </c>
      <c r="S88" s="18">
        <v>151</v>
      </c>
      <c r="T88" s="18">
        <v>134</v>
      </c>
      <c r="U88" s="18">
        <v>169</v>
      </c>
      <c r="V88" s="18">
        <v>219</v>
      </c>
      <c r="W88" s="18">
        <v>114</v>
      </c>
      <c r="X88" s="24"/>
      <c r="Y88" s="24"/>
      <c r="Z88" s="24"/>
      <c r="AA88" s="24"/>
      <c r="AB88" s="10"/>
      <c r="AC88" s="10"/>
      <c r="AD88" s="10"/>
      <c r="AE88" s="10"/>
      <c r="AF88" s="10"/>
      <c r="AG88" s="10"/>
    </row>
    <row r="89" spans="1:33">
      <c r="A89" s="16" t="s">
        <v>43</v>
      </c>
      <c r="B89" s="18"/>
      <c r="C89" s="18"/>
      <c r="D89" s="18"/>
      <c r="E89" s="18"/>
      <c r="F89" s="18"/>
      <c r="G89" s="18"/>
      <c r="H89" s="21"/>
      <c r="I89" s="21"/>
      <c r="J89" s="21"/>
      <c r="K89" s="22"/>
      <c r="L89" s="22"/>
      <c r="M89" s="21"/>
      <c r="N89" s="6"/>
      <c r="O89" s="23" t="s">
        <v>43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0"/>
      <c r="AC89" s="10"/>
      <c r="AD89" s="10"/>
      <c r="AE89" s="10"/>
      <c r="AF89" s="10"/>
      <c r="AG89" s="10"/>
    </row>
    <row r="90" spans="1:33">
      <c r="A90" s="16" t="s">
        <v>47</v>
      </c>
      <c r="B90" s="18"/>
      <c r="C90" s="18"/>
      <c r="D90" s="18"/>
      <c r="E90" s="18"/>
      <c r="F90" s="18"/>
      <c r="G90" s="18"/>
      <c r="H90" s="21"/>
      <c r="I90" s="21"/>
      <c r="J90" s="22"/>
      <c r="K90" s="22"/>
      <c r="L90" s="24"/>
      <c r="M90" s="18"/>
      <c r="N90" s="6"/>
      <c r="O90" s="23" t="s">
        <v>47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0"/>
      <c r="AC90" s="10"/>
      <c r="AD90" s="10"/>
      <c r="AE90" s="10"/>
      <c r="AF90" s="10"/>
      <c r="AG90" s="10"/>
    </row>
    <row r="92" spans="1:33">
      <c r="A92" s="29" t="s">
        <v>128</v>
      </c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2" t="s">
        <v>128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>
      <c r="B93" s="5">
        <v>1</v>
      </c>
      <c r="C93" s="5">
        <v>2</v>
      </c>
      <c r="D93" s="5">
        <v>3</v>
      </c>
      <c r="E93" s="5">
        <v>4</v>
      </c>
      <c r="F93" s="5">
        <v>5</v>
      </c>
      <c r="G93" s="5">
        <v>6</v>
      </c>
      <c r="H93" s="5">
        <v>7</v>
      </c>
      <c r="I93" s="5">
        <v>8</v>
      </c>
      <c r="J93" s="5">
        <v>9</v>
      </c>
      <c r="K93" s="5">
        <v>10</v>
      </c>
      <c r="L93" s="5">
        <v>11</v>
      </c>
      <c r="M93" s="5">
        <v>12</v>
      </c>
      <c r="N93" s="6"/>
      <c r="O93" s="7" t="s">
        <v>8</v>
      </c>
      <c r="P93" s="8">
        <v>1</v>
      </c>
      <c r="Q93" s="8">
        <v>2</v>
      </c>
      <c r="R93" s="8">
        <v>3</v>
      </c>
      <c r="S93" s="8">
        <v>4</v>
      </c>
      <c r="T93" s="8">
        <v>5</v>
      </c>
      <c r="U93" s="8">
        <v>6</v>
      </c>
      <c r="V93" s="8">
        <v>7</v>
      </c>
      <c r="W93" s="8">
        <v>8</v>
      </c>
      <c r="X93" s="8">
        <v>9</v>
      </c>
      <c r="Y93" s="8">
        <v>10</v>
      </c>
      <c r="Z93" s="8">
        <v>11</v>
      </c>
      <c r="AA93" s="8">
        <v>12</v>
      </c>
      <c r="AB93" s="10"/>
      <c r="AC93" s="11" t="s">
        <v>9</v>
      </c>
      <c r="AD93" s="12" t="s">
        <v>10</v>
      </c>
      <c r="AE93" s="13" t="s">
        <v>11</v>
      </c>
      <c r="AF93" s="13" t="s">
        <v>12</v>
      </c>
      <c r="AG93" s="13" t="s">
        <v>13</v>
      </c>
    </row>
    <row r="94" spans="1:33">
      <c r="A94" s="16" t="s">
        <v>14</v>
      </c>
      <c r="B94" s="18" t="s">
        <v>77</v>
      </c>
      <c r="C94" s="20" t="s">
        <v>77</v>
      </c>
      <c r="D94" s="21" t="s">
        <v>77</v>
      </c>
      <c r="E94" s="18" t="s">
        <v>77</v>
      </c>
      <c r="F94" s="18" t="s">
        <v>77</v>
      </c>
      <c r="G94" s="18" t="s">
        <v>77</v>
      </c>
      <c r="H94" s="18" t="s">
        <v>77</v>
      </c>
      <c r="I94" s="21"/>
      <c r="J94" s="22"/>
      <c r="K94" s="22"/>
      <c r="L94" s="21"/>
      <c r="M94" s="21"/>
      <c r="N94" s="6"/>
      <c r="O94" s="23" t="s">
        <v>14</v>
      </c>
      <c r="P94" s="18" t="s">
        <v>77</v>
      </c>
      <c r="Q94" s="18">
        <v>316</v>
      </c>
      <c r="R94" s="18">
        <v>162</v>
      </c>
      <c r="S94" s="18">
        <v>244</v>
      </c>
      <c r="T94" s="18">
        <v>377</v>
      </c>
      <c r="U94" s="18">
        <v>245</v>
      </c>
      <c r="V94" s="18">
        <v>288</v>
      </c>
      <c r="W94" s="18"/>
      <c r="X94" s="24"/>
      <c r="Y94" s="24"/>
      <c r="Z94" s="24"/>
      <c r="AA94" s="18"/>
      <c r="AB94" s="10"/>
      <c r="AC94" s="25" t="s">
        <v>21</v>
      </c>
      <c r="AD94" s="26">
        <f>COUNTIFS(P94:AA101,"&gt;0",P94:AA101,"&lt;51")</f>
        <v>0</v>
      </c>
      <c r="AE94" s="27">
        <f>COUNTIFS(P94:AA101,"&gt;0",P94:AA101,"&lt;51",B94:M101,"=i")</f>
        <v>0</v>
      </c>
      <c r="AF94" s="28">
        <f>COUNTIFS(P94:AA101,"&gt;0",P94:AA101,"&lt;51",B94:M101,"=s")</f>
        <v>0</v>
      </c>
      <c r="AG94" s="30">
        <f>COUNTIFS(P94:AA101,"&gt;0",P94:AA101,"&lt;51",B94:M101,"=g")</f>
        <v>0</v>
      </c>
    </row>
    <row r="95" spans="1:33">
      <c r="A95" s="16" t="s">
        <v>32</v>
      </c>
      <c r="B95" s="18" t="s">
        <v>77</v>
      </c>
      <c r="C95" s="18" t="s">
        <v>77</v>
      </c>
      <c r="D95" s="18" t="s">
        <v>77</v>
      </c>
      <c r="E95" s="18" t="s">
        <v>77</v>
      </c>
      <c r="F95" s="18" t="s">
        <v>77</v>
      </c>
      <c r="G95" s="18" t="s">
        <v>77</v>
      </c>
      <c r="H95" s="18" t="s">
        <v>77</v>
      </c>
      <c r="I95" s="21"/>
      <c r="J95" s="21"/>
      <c r="K95" s="22"/>
      <c r="L95" s="21"/>
      <c r="M95" s="21"/>
      <c r="N95" s="6"/>
      <c r="O95" s="23" t="s">
        <v>32</v>
      </c>
      <c r="P95" s="18">
        <v>233</v>
      </c>
      <c r="Q95" s="18" t="s">
        <v>77</v>
      </c>
      <c r="R95" s="18">
        <v>237</v>
      </c>
      <c r="S95" s="18">
        <v>264</v>
      </c>
      <c r="T95" s="18">
        <v>218</v>
      </c>
      <c r="U95" s="18">
        <v>230</v>
      </c>
      <c r="V95" s="18">
        <v>193</v>
      </c>
      <c r="W95" s="18"/>
      <c r="X95" s="24"/>
      <c r="Y95" s="24"/>
      <c r="Z95" s="24"/>
      <c r="AA95" s="18"/>
      <c r="AB95" s="10"/>
      <c r="AC95" s="25" t="s">
        <v>33</v>
      </c>
      <c r="AD95" s="31">
        <f>COUNTIFS(P94:AA101,"&gt;50",P94:AA101,"&lt;126")</f>
        <v>0</v>
      </c>
      <c r="AE95" s="27">
        <f>COUNTIFS(P95:AA102,"&gt;50",P95:AA102,"&lt;126",B95:M102,"=i")</f>
        <v>0</v>
      </c>
      <c r="AF95" s="28">
        <f>COUNTIFS(P95:AA102,"&gt;50",P95:AA102,"&lt;126",B95:M102,"=s")</f>
        <v>0</v>
      </c>
      <c r="AG95" s="30">
        <f>COUNTIFS(P95:AA102,"&gt;50",P95:AA102,"&lt;126",B95:M102,"=g")</f>
        <v>0</v>
      </c>
    </row>
    <row r="96" spans="1:33">
      <c r="A96" s="16" t="s">
        <v>34</v>
      </c>
      <c r="B96" s="18" t="s">
        <v>77</v>
      </c>
      <c r="C96" s="18" t="s">
        <v>77</v>
      </c>
      <c r="D96" s="18" t="s">
        <v>77</v>
      </c>
      <c r="E96" s="18" t="s">
        <v>77</v>
      </c>
      <c r="F96" s="18" t="s">
        <v>77</v>
      </c>
      <c r="G96" s="18" t="s">
        <v>77</v>
      </c>
      <c r="H96" s="18" t="s">
        <v>77</v>
      </c>
      <c r="I96" s="21"/>
      <c r="J96" s="21"/>
      <c r="K96" s="22"/>
      <c r="L96" s="21"/>
      <c r="M96" s="21"/>
      <c r="N96" s="6"/>
      <c r="O96" s="23" t="s">
        <v>34</v>
      </c>
      <c r="P96" s="18">
        <v>241</v>
      </c>
      <c r="Q96" s="18" t="s">
        <v>77</v>
      </c>
      <c r="R96" s="18">
        <v>225</v>
      </c>
      <c r="S96" s="18">
        <v>192</v>
      </c>
      <c r="T96" s="18">
        <v>231</v>
      </c>
      <c r="U96" s="18">
        <v>227</v>
      </c>
      <c r="V96" s="18">
        <v>197</v>
      </c>
      <c r="W96" s="18"/>
      <c r="X96" s="24"/>
      <c r="Y96" s="24"/>
      <c r="Z96" s="24"/>
      <c r="AA96" s="24"/>
      <c r="AB96" s="10"/>
      <c r="AC96" s="25" t="s">
        <v>36</v>
      </c>
      <c r="AD96" s="31">
        <f>COUNTIFS(P94:AA101,"&gt;125",P94:AA101,"&lt;251")</f>
        <v>25</v>
      </c>
      <c r="AE96" s="27">
        <f>COUNTIFS(P96:AA103,"&gt;125",P96:AA103,"&lt;251",B96:M103,"=i")</f>
        <v>0</v>
      </c>
      <c r="AF96" s="28">
        <f>COUNTIFS(P96:AA103,"&gt;125",P96:AA103,"&lt;251",B96:M103,"=s")</f>
        <v>0</v>
      </c>
      <c r="AG96" s="30">
        <f>COUNTIFS(P96:AA103,"&gt;125",P96:AA103,"&lt;251",B96:M103,"=g")</f>
        <v>0</v>
      </c>
    </row>
    <row r="97" spans="1:33">
      <c r="A97" s="16" t="s">
        <v>38</v>
      </c>
      <c r="B97" s="18" t="s">
        <v>77</v>
      </c>
      <c r="C97" s="18" t="s">
        <v>77</v>
      </c>
      <c r="D97" s="18" t="s">
        <v>77</v>
      </c>
      <c r="E97" s="18" t="s">
        <v>77</v>
      </c>
      <c r="F97" s="18" t="s">
        <v>77</v>
      </c>
      <c r="G97" s="18" t="s">
        <v>77</v>
      </c>
      <c r="H97" s="21" t="s">
        <v>77</v>
      </c>
      <c r="I97" s="21"/>
      <c r="J97" s="21"/>
      <c r="K97" s="22"/>
      <c r="L97" s="21"/>
      <c r="M97" s="21"/>
      <c r="N97" s="6"/>
      <c r="O97" s="23" t="s">
        <v>38</v>
      </c>
      <c r="P97" s="18">
        <v>227</v>
      </c>
      <c r="Q97" s="18">
        <v>188</v>
      </c>
      <c r="R97" s="18">
        <v>191</v>
      </c>
      <c r="S97" s="18">
        <v>243</v>
      </c>
      <c r="T97" s="18">
        <v>280</v>
      </c>
      <c r="U97" s="18">
        <v>197</v>
      </c>
      <c r="V97" s="18">
        <v>245</v>
      </c>
      <c r="W97" s="18"/>
      <c r="X97" s="24"/>
      <c r="Y97" s="24"/>
      <c r="Z97" s="24"/>
      <c r="AA97" s="24"/>
      <c r="AB97" s="10"/>
      <c r="AC97" s="25" t="s">
        <v>39</v>
      </c>
      <c r="AD97" s="31">
        <f>COUNTIFS(P94:AA101,"&gt;250",P94:AA101,"&lt;501")</f>
        <v>6</v>
      </c>
      <c r="AE97" s="27">
        <f>COUNTIFS(P97:AA104,"&gt;250",P97:AA104,"&lt;501",B97:M104,"=i")</f>
        <v>0</v>
      </c>
      <c r="AF97" s="28">
        <f>COUNTIFS(P97:AA104,"&gt;250",P97:AA104,"&lt;501",B97:M104,"=s")</f>
        <v>0</v>
      </c>
      <c r="AG97" s="30">
        <f>COUNTIFS(P97:AA104,"&gt;250",P97:AA104,"&lt;501",B97:M104,"=g")</f>
        <v>0</v>
      </c>
    </row>
    <row r="98" spans="1:33">
      <c r="A98" s="16" t="s">
        <v>40</v>
      </c>
      <c r="B98" s="18" t="s">
        <v>77</v>
      </c>
      <c r="C98" s="21" t="s">
        <v>77</v>
      </c>
      <c r="D98" s="18" t="s">
        <v>77</v>
      </c>
      <c r="E98" s="18" t="s">
        <v>77</v>
      </c>
      <c r="F98" s="18" t="s">
        <v>77</v>
      </c>
      <c r="G98" s="21" t="s">
        <v>77</v>
      </c>
      <c r="H98" s="21" t="s">
        <v>77</v>
      </c>
      <c r="I98" s="21"/>
      <c r="J98" s="21"/>
      <c r="K98" s="22"/>
      <c r="L98" s="22"/>
      <c r="M98" s="21"/>
      <c r="N98" s="6"/>
      <c r="O98" s="23" t="s">
        <v>40</v>
      </c>
      <c r="P98" s="18">
        <v>270</v>
      </c>
      <c r="Q98" s="18">
        <v>202</v>
      </c>
      <c r="R98" s="18" t="s">
        <v>77</v>
      </c>
      <c r="S98" s="18">
        <v>199</v>
      </c>
      <c r="T98" s="18">
        <v>208</v>
      </c>
      <c r="U98" s="18">
        <v>131</v>
      </c>
      <c r="V98" s="18">
        <v>176</v>
      </c>
      <c r="W98" s="18"/>
      <c r="X98" s="24"/>
      <c r="Y98" s="24"/>
      <c r="Z98" s="24"/>
      <c r="AA98" s="24"/>
      <c r="AB98" s="10"/>
      <c r="AC98" s="25" t="s">
        <v>41</v>
      </c>
      <c r="AD98" s="31">
        <f>COUNTIF(P94:AA101,"&gt;500")</f>
        <v>0</v>
      </c>
      <c r="AE98" s="27">
        <f>COUNTIFS(P98:AA105,"&gt;500",B98:M105,"=i")</f>
        <v>0</v>
      </c>
      <c r="AF98" s="28">
        <f>COUNTIFS(P98:AA105,"&gt;500",B98:M105,"=s")</f>
        <v>0</v>
      </c>
      <c r="AG98" s="30">
        <f>COUNTIFS(P98:AA105,"&gt;500",B98:M105,"=g")</f>
        <v>0</v>
      </c>
    </row>
    <row r="99" spans="1:33">
      <c r="A99" s="16" t="s">
        <v>42</v>
      </c>
      <c r="B99" s="18"/>
      <c r="C99" s="21"/>
      <c r="D99" s="18"/>
      <c r="E99" s="18"/>
      <c r="F99" s="18"/>
      <c r="G99" s="21"/>
      <c r="H99" s="21"/>
      <c r="I99" s="21"/>
      <c r="J99" s="21"/>
      <c r="K99" s="22"/>
      <c r="L99" s="22"/>
      <c r="M99" s="21"/>
      <c r="N99" s="6"/>
      <c r="O99" s="23" t="s">
        <v>42</v>
      </c>
      <c r="P99" s="18"/>
      <c r="Q99" s="18"/>
      <c r="R99" s="18"/>
      <c r="S99" s="18"/>
      <c r="T99" s="18"/>
      <c r="U99" s="18"/>
      <c r="V99" s="18"/>
      <c r="W99" s="18"/>
      <c r="X99" s="24"/>
      <c r="Y99" s="24"/>
      <c r="Z99" s="24"/>
      <c r="AA99" s="24"/>
      <c r="AB99" s="10"/>
      <c r="AC99" s="10"/>
      <c r="AD99" s="10"/>
      <c r="AE99" s="10"/>
      <c r="AF99" s="10"/>
      <c r="AG99" s="10"/>
    </row>
    <row r="100" spans="1:33">
      <c r="A100" s="16" t="s">
        <v>43</v>
      </c>
      <c r="B100" s="18"/>
      <c r="C100" s="18"/>
      <c r="D100" s="18"/>
      <c r="E100" s="18"/>
      <c r="F100" s="18"/>
      <c r="G100" s="18"/>
      <c r="H100" s="21"/>
      <c r="I100" s="21"/>
      <c r="J100" s="21"/>
      <c r="K100" s="22"/>
      <c r="L100" s="22"/>
      <c r="M100" s="21"/>
      <c r="N100" s="6"/>
      <c r="O100" s="23" t="s">
        <v>43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0"/>
      <c r="AC100" s="10"/>
      <c r="AE100" s="10"/>
      <c r="AF100" s="10"/>
      <c r="AG100" s="10"/>
    </row>
    <row r="101" spans="1:33">
      <c r="A101" s="16" t="s">
        <v>47</v>
      </c>
      <c r="B101" s="18"/>
      <c r="C101" s="18"/>
      <c r="D101" s="18"/>
      <c r="E101" s="18"/>
      <c r="F101" s="18"/>
      <c r="G101" s="18"/>
      <c r="H101" s="21"/>
      <c r="I101" s="21"/>
      <c r="J101" s="22"/>
      <c r="K101" s="22"/>
      <c r="L101" s="24"/>
      <c r="M101" s="18"/>
      <c r="N101" s="6"/>
      <c r="O101" s="23" t="s">
        <v>47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0"/>
      <c r="AC101" s="81" t="s">
        <v>48</v>
      </c>
      <c r="AD101">
        <f>(SUM(AD49:AD53,AD3:AD7,AD16:AD20,AD27:AD31,AD38:AD42,AD60:AD64,AD71:AD75,AD83:AD87,AD94:AD98))-6</f>
        <v>290</v>
      </c>
      <c r="AE101" s="10"/>
      <c r="AF101" s="10"/>
      <c r="AG101" s="10"/>
    </row>
    <row r="102" spans="1:33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E102" s="57"/>
      <c r="AF102" s="57"/>
      <c r="AG102" s="57"/>
    </row>
    <row r="104" spans="1:33" ht="15" customHeight="1">
      <c r="A104" s="203" t="s">
        <v>706</v>
      </c>
    </row>
  </sheetData>
  <mergeCells count="1">
    <mergeCell ref="D47:K47"/>
  </mergeCells>
  <conditionalFormatting sqref="P3:AA10 P16:AA23 P27:AA34 P38:AA45 P49:AA56">
    <cfRule type="cellIs" dxfId="42" priority="1" operator="equal">
      <formula>"u"</formula>
    </cfRule>
  </conditionalFormatting>
  <conditionalFormatting sqref="P3:AA10 P16:AA23 P27:AA34 P38:AA45 P49:AA56 P60:AA67 P71:AA78 P83:AA90 P94:AA101">
    <cfRule type="cellIs" dxfId="41" priority="2" operator="equal">
      <formula>"N"</formula>
    </cfRule>
  </conditionalFormatting>
  <conditionalFormatting sqref="P3:AA10 P16:AA23 P27:AA34 P38:AA45 P49:AA56 P60:AA67 P71:AA78 P83:AA90 P94:AA101">
    <cfRule type="cellIs" dxfId="40" priority="3" operator="equal">
      <formula>"?"</formula>
    </cfRule>
  </conditionalFormatting>
  <conditionalFormatting sqref="P3:AA10 P16:AA23 P27:AA34 P38:AA45 P49:AA56 P60:AA67 P71:AA78 P83:AA90 P94:AA101">
    <cfRule type="cellIs" dxfId="39" priority="4" operator="equal">
      <formula>"X"</formula>
    </cfRule>
  </conditionalFormatting>
  <conditionalFormatting sqref="P3:AA10 P16:AA23 P27:AA34 P38:AA45 P49:AA56 P60:AA67 P71:AA78 P83:AA90 P94:AA101">
    <cfRule type="cellIs" dxfId="38" priority="5" operator="equal">
      <formula>0</formula>
    </cfRule>
  </conditionalFormatting>
  <conditionalFormatting sqref="B3:M10 B16:M23 B27:M34 B38:M45 B49:M56 B60:M67 B71:M78 B83:M90 B94:M101">
    <cfRule type="endsWith" dxfId="37" priority="6" operator="endsWith" text="?">
      <formula>RIGHT((B3),LEN("?"))=("?")</formula>
    </cfRule>
  </conditionalFormatting>
  <conditionalFormatting sqref="B3:M10 B16:M23 B27:M34 B38:M45 B49:M56 B60:M67 B71:M78 B83:M90 B94:M101">
    <cfRule type="containsText" dxfId="36" priority="7" operator="containsText" text="stub">
      <formula>NOT(ISERROR(SEARCH(("stub"),(B3))))</formula>
    </cfRule>
  </conditionalFormatting>
  <conditionalFormatting sqref="B3:M10 P3:AA10 B16:M23 P16:AA23 B27:M34 P27:AA34 B38:M45 P38:AA45 B49:M56 P49:AA56 B60:M67 P60:AA67 B71:M78 P71:AA78 B83:M90 P83:AA90 B94:M101 P94:AA101">
    <cfRule type="notContainsBlanks" dxfId="35" priority="8">
      <formula>LEN(TRIM(B3))&gt;0</formula>
    </cfRule>
  </conditionalFormatting>
  <conditionalFormatting sqref="B3:M10 B16:M23 B27:M34 B38:M45 B49:M56 B60:M67 B71:M78 B83:M90 B94:M101">
    <cfRule type="containsBlanks" dxfId="34" priority="9">
      <formula>LEN(TRIM(B3))=0</formula>
    </cfRule>
  </conditionalFormatting>
  <conditionalFormatting sqref="P3 P16 P27 P38 P49 P60 P71 P83 P94">
    <cfRule type="notContainsBlanks" dxfId="33" priority="10">
      <formula>LEN(TRIM(P3))&gt;0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H987"/>
  <sheetViews>
    <sheetView workbookViewId="0">
      <selection activeCell="B19" sqref="B19"/>
    </sheetView>
  </sheetViews>
  <sheetFormatPr baseColWidth="10" defaultColWidth="11.1640625" defaultRowHeight="15" customHeight="1"/>
  <cols>
    <col min="1" max="13" width="6.33203125" customWidth="1"/>
    <col min="14" max="14" width="3.83203125" customWidth="1"/>
    <col min="15" max="27" width="6.83203125" customWidth="1"/>
  </cols>
  <sheetData>
    <row r="1" spans="1:34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129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17</v>
      </c>
      <c r="C3" s="20" t="s">
        <v>18</v>
      </c>
      <c r="D3" s="21" t="s">
        <v>69</v>
      </c>
      <c r="E3" s="18" t="s">
        <v>18</v>
      </c>
      <c r="F3" s="18" t="s">
        <v>18</v>
      </c>
      <c r="G3" s="24"/>
      <c r="H3" s="18" t="s">
        <v>18</v>
      </c>
      <c r="I3" s="21" t="s">
        <v>18</v>
      </c>
      <c r="J3" s="22"/>
      <c r="K3" s="22"/>
      <c r="L3" s="22"/>
      <c r="M3" s="22"/>
      <c r="N3" s="6"/>
      <c r="O3" s="23" t="s">
        <v>14</v>
      </c>
      <c r="P3" s="18">
        <v>72</v>
      </c>
      <c r="Q3" s="18">
        <v>95</v>
      </c>
      <c r="R3" s="18" t="s">
        <v>37</v>
      </c>
      <c r="S3" s="18">
        <v>161</v>
      </c>
      <c r="T3" s="18">
        <v>87</v>
      </c>
      <c r="U3" s="18" t="s">
        <v>37</v>
      </c>
      <c r="V3" s="18">
        <v>225</v>
      </c>
      <c r="W3" s="18">
        <v>46</v>
      </c>
      <c r="X3" s="18" t="s">
        <v>37</v>
      </c>
      <c r="Y3" s="24"/>
      <c r="Z3" s="24"/>
      <c r="AA3" s="24"/>
      <c r="AB3" s="10"/>
      <c r="AC3" s="25" t="s">
        <v>21</v>
      </c>
      <c r="AD3" s="26">
        <f>COUNTIFS(P3:AA10,"&gt;0",P3:AA10,"&lt;51")</f>
        <v>6</v>
      </c>
      <c r="AE3" s="27">
        <f>COUNTIFS(P3:AA10,"&gt;0",P3:AA10,"&lt;51",B3:M10,"=i")</f>
        <v>0</v>
      </c>
      <c r="AF3" s="28">
        <f>COUNTIFS(P3:AA10,"&gt;0",P3:AA10,"&lt;51",B3:M10,"=s")</f>
        <v>1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69</v>
      </c>
      <c r="C4" s="18" t="s">
        <v>35</v>
      </c>
      <c r="D4" s="18" t="s">
        <v>18</v>
      </c>
      <c r="E4" s="18" t="s">
        <v>18</v>
      </c>
      <c r="F4" s="18" t="s">
        <v>17</v>
      </c>
      <c r="G4" s="18" t="s">
        <v>17</v>
      </c>
      <c r="H4" s="18" t="s">
        <v>18</v>
      </c>
      <c r="I4" s="21" t="s">
        <v>17</v>
      </c>
      <c r="J4" s="21" t="s">
        <v>17</v>
      </c>
      <c r="K4" s="22"/>
      <c r="L4" s="22"/>
      <c r="M4" s="22"/>
      <c r="N4" s="6"/>
      <c r="O4" s="23" t="s">
        <v>32</v>
      </c>
      <c r="P4" s="18" t="s">
        <v>37</v>
      </c>
      <c r="Q4" s="18">
        <v>135</v>
      </c>
      <c r="R4" s="18">
        <v>113</v>
      </c>
      <c r="S4" s="18">
        <v>258</v>
      </c>
      <c r="T4" s="18">
        <v>62</v>
      </c>
      <c r="U4" s="18">
        <v>242</v>
      </c>
      <c r="V4" s="18">
        <v>115</v>
      </c>
      <c r="W4" s="18">
        <v>117</v>
      </c>
      <c r="X4" s="18">
        <v>169</v>
      </c>
      <c r="Y4" s="24"/>
      <c r="Z4" s="24"/>
      <c r="AA4" s="24"/>
      <c r="AB4" s="10"/>
      <c r="AC4" s="25" t="s">
        <v>33</v>
      </c>
      <c r="AD4" s="31">
        <f>COUNTIFS(P3:AA10,"&gt;50",P3:AA10,"&lt;126")</f>
        <v>30</v>
      </c>
      <c r="AE4" s="27">
        <f>COUNTIFS(P4:AA11,"&gt;50",P4:AA11,"&lt;126",B4:M11,"=i")</f>
        <v>12</v>
      </c>
      <c r="AF4" s="28">
        <f>COUNTIFS(P4:AA11,"&gt;50",P4:AA11,"&lt;126",B4:M11,"=s")</f>
        <v>14</v>
      </c>
      <c r="AG4" s="30">
        <f>COUNTIFS(P4:AA11,"&gt;50",P4:AA11,"&lt;126",B4:M11,"=g")</f>
        <v>1</v>
      </c>
      <c r="AH4" s="10"/>
    </row>
    <row r="5" spans="1:34">
      <c r="A5" s="16" t="s">
        <v>34</v>
      </c>
      <c r="B5" s="18" t="s">
        <v>18</v>
      </c>
      <c r="C5" s="18" t="s">
        <v>17</v>
      </c>
      <c r="D5" s="18" t="s">
        <v>131</v>
      </c>
      <c r="E5" s="18" t="s">
        <v>18</v>
      </c>
      <c r="F5" s="18" t="s">
        <v>17</v>
      </c>
      <c r="G5" s="18" t="s">
        <v>18</v>
      </c>
      <c r="H5" s="18" t="s">
        <v>17</v>
      </c>
      <c r="I5" s="21" t="s">
        <v>69</v>
      </c>
      <c r="J5" s="21" t="s">
        <v>17</v>
      </c>
      <c r="K5" s="22"/>
      <c r="L5" s="22"/>
      <c r="M5" s="21" t="s">
        <v>98</v>
      </c>
      <c r="N5" s="6"/>
      <c r="O5" s="23" t="s">
        <v>34</v>
      </c>
      <c r="P5" s="18">
        <v>397</v>
      </c>
      <c r="Q5" s="18">
        <v>118</v>
      </c>
      <c r="R5" s="18">
        <v>208</v>
      </c>
      <c r="S5" s="18">
        <v>106</v>
      </c>
      <c r="T5" s="18">
        <v>113</v>
      </c>
      <c r="U5" s="18">
        <v>158</v>
      </c>
      <c r="V5" s="18">
        <v>54</v>
      </c>
      <c r="W5" s="18" t="s">
        <v>37</v>
      </c>
      <c r="X5" s="18">
        <v>55</v>
      </c>
      <c r="Y5" s="24"/>
      <c r="Z5" s="24"/>
      <c r="AA5" s="18">
        <v>157</v>
      </c>
      <c r="AB5" s="10"/>
      <c r="AC5" s="25" t="s">
        <v>36</v>
      </c>
      <c r="AD5" s="31">
        <f>COUNTIFS(P3:AA10,"&gt;125",P3:AA10,"&lt;251")</f>
        <v>22</v>
      </c>
      <c r="AE5" s="27">
        <f>COUNTIFS(P5:AA11,"&gt;125",P5:AA11,"&lt;251",B5:M11,"=i")</f>
        <v>6</v>
      </c>
      <c r="AF5" s="28">
        <f>COUNTIFS(P5:AA11,"&gt;125",P5:AA11,"&lt;251",B5:M11,"=s")</f>
        <v>6</v>
      </c>
      <c r="AG5" s="30">
        <f>COUNTIFS(P5:AA11,"&gt;125",P5:AA11,"&lt;251",B5:M11,"=g")</f>
        <v>2</v>
      </c>
      <c r="AH5" s="10"/>
    </row>
    <row r="6" spans="1:34">
      <c r="A6" s="16" t="s">
        <v>38</v>
      </c>
      <c r="B6" s="18" t="s">
        <v>18</v>
      </c>
      <c r="C6" s="18" t="s">
        <v>69</v>
      </c>
      <c r="D6" s="18" t="s">
        <v>35</v>
      </c>
      <c r="E6" s="18" t="s">
        <v>69</v>
      </c>
      <c r="F6" s="18" t="s">
        <v>17</v>
      </c>
      <c r="G6" s="18" t="s">
        <v>17</v>
      </c>
      <c r="H6" s="21" t="s">
        <v>53</v>
      </c>
      <c r="I6" s="21" t="s">
        <v>132</v>
      </c>
      <c r="J6" s="21" t="s">
        <v>17</v>
      </c>
      <c r="K6" s="22"/>
      <c r="L6" s="22"/>
      <c r="M6" s="21" t="s">
        <v>133</v>
      </c>
      <c r="N6" s="6"/>
      <c r="O6" s="23" t="s">
        <v>38</v>
      </c>
      <c r="P6" s="18">
        <v>120</v>
      </c>
      <c r="Q6" s="18" t="s">
        <v>37</v>
      </c>
      <c r="R6" s="18" t="s">
        <v>37</v>
      </c>
      <c r="S6" s="18" t="s">
        <v>37</v>
      </c>
      <c r="T6" s="18">
        <v>140</v>
      </c>
      <c r="U6" s="18">
        <v>170</v>
      </c>
      <c r="V6" s="18">
        <v>146</v>
      </c>
      <c r="W6" s="18">
        <v>39</v>
      </c>
      <c r="X6" s="18">
        <v>143</v>
      </c>
      <c r="Y6" s="24"/>
      <c r="Z6" s="24"/>
      <c r="AA6" s="18">
        <v>38</v>
      </c>
      <c r="AB6" s="10"/>
      <c r="AC6" s="25" t="s">
        <v>39</v>
      </c>
      <c r="AD6" s="31">
        <f>COUNTIFS(P3:AA10,"&gt;250",P3:AA10,"&lt;501")</f>
        <v>5</v>
      </c>
      <c r="AE6" s="27">
        <f>COUNTIFS(P6:AA11,"&gt;250",P6:AA11,"&lt;501",B6:M11,"=i")</f>
        <v>0</v>
      </c>
      <c r="AF6" s="28">
        <f>COUNTIFS(P6:AA11,"&gt;250",P6:AA11,"&lt;501",B6:M11,"=s")</f>
        <v>3</v>
      </c>
      <c r="AG6" s="30">
        <f>COUNTIFS(P6:AA11,"&gt;250",P6:AA11,"&lt;501",B6:M11,"=g")</f>
        <v>0</v>
      </c>
      <c r="AH6" s="10"/>
    </row>
    <row r="7" spans="1:34">
      <c r="A7" s="16" t="s">
        <v>40</v>
      </c>
      <c r="B7" s="18" t="s">
        <v>18</v>
      </c>
      <c r="C7" s="21" t="s">
        <v>17</v>
      </c>
      <c r="D7" s="18" t="s">
        <v>17</v>
      </c>
      <c r="E7" s="18" t="s">
        <v>35</v>
      </c>
      <c r="F7" s="18" t="s">
        <v>35</v>
      </c>
      <c r="G7" s="21" t="s">
        <v>18</v>
      </c>
      <c r="H7" s="21" t="s">
        <v>18</v>
      </c>
      <c r="I7" s="21" t="s">
        <v>18</v>
      </c>
      <c r="J7" s="21" t="s">
        <v>18</v>
      </c>
      <c r="K7" s="22"/>
      <c r="L7" s="22"/>
      <c r="M7" s="22"/>
      <c r="N7" s="6"/>
      <c r="O7" s="23" t="s">
        <v>40</v>
      </c>
      <c r="P7" s="18">
        <v>127</v>
      </c>
      <c r="Q7" s="18">
        <v>161</v>
      </c>
      <c r="R7" s="18">
        <v>52</v>
      </c>
      <c r="S7" s="18">
        <v>23</v>
      </c>
      <c r="T7" s="18" t="s">
        <v>37</v>
      </c>
      <c r="U7" s="18">
        <v>112</v>
      </c>
      <c r="V7" s="18">
        <v>66</v>
      </c>
      <c r="W7" s="18">
        <v>60</v>
      </c>
      <c r="X7" s="18">
        <v>191</v>
      </c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COUNTIFS(P7:AA11,"&gt;500",B7:M11,"=i")</f>
        <v>0</v>
      </c>
      <c r="AF7" s="28">
        <f>COUNTIFS(P7:AA11,"&gt;500",B7:M11,"=s")</f>
        <v>0</v>
      </c>
      <c r="AG7" s="30">
        <f>COUNTIFS(P7:AA11,"&gt;500",B7:M11,"=g")</f>
        <v>0</v>
      </c>
      <c r="AH7" s="10"/>
    </row>
    <row r="8" spans="1:34">
      <c r="A8" s="16" t="s">
        <v>42</v>
      </c>
      <c r="B8" s="18" t="s">
        <v>69</v>
      </c>
      <c r="C8" s="21" t="s">
        <v>17</v>
      </c>
      <c r="D8" s="18" t="s">
        <v>134</v>
      </c>
      <c r="E8" s="18" t="s">
        <v>18</v>
      </c>
      <c r="F8" s="18" t="s">
        <v>18</v>
      </c>
      <c r="G8" s="21" t="s">
        <v>17</v>
      </c>
      <c r="H8" s="21" t="s">
        <v>17</v>
      </c>
      <c r="I8" s="21" t="s">
        <v>18</v>
      </c>
      <c r="J8" s="21" t="s">
        <v>17</v>
      </c>
      <c r="K8" s="22"/>
      <c r="L8" s="22"/>
      <c r="M8" s="21" t="s">
        <v>136</v>
      </c>
      <c r="N8" s="6"/>
      <c r="O8" s="23" t="s">
        <v>42</v>
      </c>
      <c r="P8" s="18" t="s">
        <v>37</v>
      </c>
      <c r="Q8" s="18">
        <v>102</v>
      </c>
      <c r="R8" s="18">
        <v>28.1</v>
      </c>
      <c r="S8" s="18">
        <v>98</v>
      </c>
      <c r="T8" s="18">
        <v>303</v>
      </c>
      <c r="U8" s="18">
        <v>171</v>
      </c>
      <c r="V8" s="18">
        <v>146</v>
      </c>
      <c r="W8" s="18">
        <v>54</v>
      </c>
      <c r="X8" s="18">
        <v>69</v>
      </c>
      <c r="Y8" s="24"/>
      <c r="Z8" s="24"/>
      <c r="AA8" s="18">
        <v>41</v>
      </c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18</v>
      </c>
      <c r="C9" s="18" t="s">
        <v>17</v>
      </c>
      <c r="D9" s="18" t="s">
        <v>35</v>
      </c>
      <c r="E9" s="18" t="s">
        <v>53</v>
      </c>
      <c r="F9" s="18" t="s">
        <v>18</v>
      </c>
      <c r="G9" s="18" t="s">
        <v>17</v>
      </c>
      <c r="H9" s="21" t="s">
        <v>18</v>
      </c>
      <c r="I9" s="21" t="s">
        <v>18</v>
      </c>
      <c r="J9" s="21" t="s">
        <v>69</v>
      </c>
      <c r="K9" s="22"/>
      <c r="L9" s="22"/>
      <c r="M9" s="22"/>
      <c r="N9" s="6"/>
      <c r="O9" s="23" t="s">
        <v>43</v>
      </c>
      <c r="P9" s="18">
        <v>97</v>
      </c>
      <c r="Q9" s="18">
        <v>52</v>
      </c>
      <c r="R9" s="18">
        <v>135</v>
      </c>
      <c r="S9" s="18">
        <v>54</v>
      </c>
      <c r="T9" s="18">
        <v>141</v>
      </c>
      <c r="U9" s="18">
        <v>121</v>
      </c>
      <c r="V9" s="18">
        <v>75</v>
      </c>
      <c r="W9" s="18">
        <v>65</v>
      </c>
      <c r="X9" s="18" t="s">
        <v>37</v>
      </c>
      <c r="Y9" s="24"/>
      <c r="Z9" s="24"/>
      <c r="AA9" s="24"/>
      <c r="AB9" s="10"/>
      <c r="AC9" s="10"/>
      <c r="AE9" s="10"/>
      <c r="AF9" s="10"/>
      <c r="AG9" s="10"/>
      <c r="AH9" s="10"/>
    </row>
    <row r="10" spans="1:34">
      <c r="A10" s="16" t="s">
        <v>47</v>
      </c>
      <c r="B10" s="18" t="s">
        <v>18</v>
      </c>
      <c r="C10" s="18" t="s">
        <v>18</v>
      </c>
      <c r="D10" s="18" t="s">
        <v>18</v>
      </c>
      <c r="E10" s="18" t="s">
        <v>18</v>
      </c>
      <c r="F10" s="18" t="s">
        <v>18</v>
      </c>
      <c r="G10" s="18" t="s">
        <v>18</v>
      </c>
      <c r="H10" s="21" t="s">
        <v>53</v>
      </c>
      <c r="I10" s="21" t="s">
        <v>17</v>
      </c>
      <c r="J10" s="22"/>
      <c r="K10" s="22"/>
      <c r="L10" s="24"/>
      <c r="M10" s="24"/>
      <c r="N10" s="6"/>
      <c r="O10" s="23" t="s">
        <v>47</v>
      </c>
      <c r="P10" s="18">
        <v>59</v>
      </c>
      <c r="Q10" s="18">
        <v>266</v>
      </c>
      <c r="R10" s="18">
        <v>114</v>
      </c>
      <c r="S10" s="18">
        <v>200</v>
      </c>
      <c r="T10" s="18">
        <v>157</v>
      </c>
      <c r="U10" s="18">
        <v>260</v>
      </c>
      <c r="V10" s="18">
        <v>226</v>
      </c>
      <c r="W10" s="18">
        <v>66</v>
      </c>
      <c r="X10" s="18" t="s">
        <v>37</v>
      </c>
      <c r="Y10" s="24"/>
      <c r="Z10" s="24"/>
      <c r="AA10" s="24"/>
      <c r="AB10" s="10"/>
      <c r="AC10" s="10" t="s">
        <v>48</v>
      </c>
      <c r="AD10" s="10">
        <f>SUM(AD3:AD7)</f>
        <v>63</v>
      </c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203" t="s">
        <v>705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</sheetData>
  <conditionalFormatting sqref="P3:AA10">
    <cfRule type="cellIs" dxfId="32" priority="1" operator="equal">
      <formula>"u"</formula>
    </cfRule>
  </conditionalFormatting>
  <conditionalFormatting sqref="P3:AA10">
    <cfRule type="cellIs" dxfId="31" priority="2" operator="equal">
      <formula>"?"</formula>
    </cfRule>
  </conditionalFormatting>
  <conditionalFormatting sqref="P3:AA10">
    <cfRule type="cellIs" dxfId="30" priority="3" operator="equal">
      <formula>"N"</formula>
    </cfRule>
  </conditionalFormatting>
  <conditionalFormatting sqref="P3:AA10">
    <cfRule type="cellIs" dxfId="29" priority="4" operator="equal">
      <formula>"X"</formula>
    </cfRule>
  </conditionalFormatting>
  <conditionalFormatting sqref="P3:AA10">
    <cfRule type="cellIs" dxfId="28" priority="5" operator="equal">
      <formula>0</formula>
    </cfRule>
  </conditionalFormatting>
  <conditionalFormatting sqref="B3:M10">
    <cfRule type="endsWith" dxfId="27" priority="6" operator="endsWith" text="?">
      <formula>RIGHT((B3),LEN("?"))=("?")</formula>
    </cfRule>
  </conditionalFormatting>
  <conditionalFormatting sqref="B3:M10 P3:AA10">
    <cfRule type="notContainsBlanks" dxfId="26" priority="7">
      <formula>LEN(TRIM(B3))&gt;0</formula>
    </cfRule>
  </conditionalFormatting>
  <conditionalFormatting sqref="B3:M10">
    <cfRule type="containsBlanks" dxfId="25" priority="8">
      <formula>LEN(TRIM(B3))=0</formula>
    </cfRule>
  </conditionalFormatting>
  <conditionalFormatting sqref="P3">
    <cfRule type="notContainsBlanks" dxfId="24" priority="9">
      <formula>LEN(TRIM(AD3))&gt;0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H995"/>
  <sheetViews>
    <sheetView workbookViewId="0">
      <selection activeCell="S44" sqref="S44"/>
    </sheetView>
  </sheetViews>
  <sheetFormatPr baseColWidth="10" defaultColWidth="11.1640625" defaultRowHeight="15" customHeight="1"/>
  <cols>
    <col min="1" max="1" width="7.6640625" customWidth="1"/>
    <col min="2" max="13" width="6.33203125" customWidth="1"/>
    <col min="14" max="14" width="3.83203125" customWidth="1"/>
    <col min="15" max="27" width="6.83203125" customWidth="1"/>
  </cols>
  <sheetData>
    <row r="1" spans="1:34">
      <c r="A1" s="2" t="s">
        <v>130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130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17</v>
      </c>
      <c r="C3" s="20" t="s">
        <v>17</v>
      </c>
      <c r="D3" s="21" t="s">
        <v>17</v>
      </c>
      <c r="E3" s="18" t="s">
        <v>17</v>
      </c>
      <c r="F3" s="18" t="s">
        <v>17</v>
      </c>
      <c r="G3" s="18" t="s">
        <v>17</v>
      </c>
      <c r="H3" s="18" t="s">
        <v>17</v>
      </c>
      <c r="I3" s="21" t="s">
        <v>17</v>
      </c>
      <c r="J3" s="21" t="s">
        <v>53</v>
      </c>
      <c r="K3" s="21" t="s">
        <v>17</v>
      </c>
      <c r="L3" s="21" t="s">
        <v>18</v>
      </c>
      <c r="M3" s="21" t="s">
        <v>17</v>
      </c>
      <c r="N3" s="6"/>
      <c r="O3" s="23" t="s">
        <v>14</v>
      </c>
      <c r="P3" s="18">
        <v>216</v>
      </c>
      <c r="Q3" s="18">
        <v>98</v>
      </c>
      <c r="R3" s="18">
        <v>225.625</v>
      </c>
      <c r="S3" s="18">
        <v>86</v>
      </c>
      <c r="T3" s="18">
        <v>155</v>
      </c>
      <c r="U3" s="18">
        <v>112</v>
      </c>
      <c r="V3" s="18">
        <v>246</v>
      </c>
      <c r="W3" s="18">
        <v>131</v>
      </c>
      <c r="X3" s="18">
        <v>245</v>
      </c>
      <c r="Y3" s="18">
        <v>233</v>
      </c>
      <c r="Z3" s="18">
        <v>119</v>
      </c>
      <c r="AA3" s="18" t="s">
        <v>69</v>
      </c>
      <c r="AB3" s="10"/>
      <c r="AC3" s="25" t="s">
        <v>21</v>
      </c>
      <c r="AD3" s="26">
        <f>COUNTIFS(P3:AA10,"&gt;0",P3:AA10,"&lt;51")</f>
        <v>1</v>
      </c>
      <c r="AE3" s="27">
        <f>COUNTIFS(P3:AA10,"&gt;0",P3:AA10,"&lt;51",B3:M10,"=i")</f>
        <v>1</v>
      </c>
      <c r="AF3" s="28">
        <f>COUNTIFS(P3:AA10,"&gt;0",P3:AA10,"&lt;51",B3:M10,"=s")</f>
        <v>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18</v>
      </c>
      <c r="C4" s="18" t="s">
        <v>35</v>
      </c>
      <c r="D4" s="18" t="s">
        <v>18</v>
      </c>
      <c r="E4" s="18" t="s">
        <v>17</v>
      </c>
      <c r="F4" s="18" t="s">
        <v>18</v>
      </c>
      <c r="G4" s="18" t="s">
        <v>17</v>
      </c>
      <c r="H4" s="18" t="s">
        <v>18</v>
      </c>
      <c r="I4" s="21" t="s">
        <v>18</v>
      </c>
      <c r="J4" s="21" t="s">
        <v>53</v>
      </c>
      <c r="K4" s="21" t="s">
        <v>17</v>
      </c>
      <c r="L4" s="21" t="s">
        <v>18</v>
      </c>
      <c r="M4" s="21" t="s">
        <v>17</v>
      </c>
      <c r="N4" s="6"/>
      <c r="O4" s="23" t="s">
        <v>32</v>
      </c>
      <c r="P4" s="18">
        <v>100</v>
      </c>
      <c r="Q4" s="18">
        <v>318.75</v>
      </c>
      <c r="R4" s="18">
        <v>170</v>
      </c>
      <c r="S4" s="18">
        <v>139</v>
      </c>
      <c r="T4" s="18">
        <v>88</v>
      </c>
      <c r="U4" s="18">
        <v>241</v>
      </c>
      <c r="V4" s="18">
        <v>137</v>
      </c>
      <c r="W4" s="18">
        <v>153</v>
      </c>
      <c r="X4" s="18">
        <v>142</v>
      </c>
      <c r="Y4" s="18">
        <v>209</v>
      </c>
      <c r="Z4" s="18">
        <v>135</v>
      </c>
      <c r="AA4" s="18">
        <v>60</v>
      </c>
      <c r="AB4" s="10"/>
      <c r="AC4" s="25" t="s">
        <v>33</v>
      </c>
      <c r="AD4" s="31">
        <f>COUNTIFS(P3:AA10,"&gt;50",P3:AA10,"&lt;126")</f>
        <v>33</v>
      </c>
      <c r="AE4" s="27">
        <f>COUNTIFS(P4:AA11,"&gt;50",P4:AA11,"&lt;126",B4:M11,"=i")</f>
        <v>19</v>
      </c>
      <c r="AF4" s="28">
        <f>COUNTIFS(P4:AA11,"&gt;50",P4:AA11,"&lt;126",B4:M11,"=s")</f>
        <v>8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17</v>
      </c>
      <c r="C5" s="18" t="s">
        <v>18</v>
      </c>
      <c r="D5" s="18" t="s">
        <v>17</v>
      </c>
      <c r="E5" s="18" t="s">
        <v>18</v>
      </c>
      <c r="F5" s="18" t="s">
        <v>18</v>
      </c>
      <c r="G5" s="18" t="s">
        <v>17</v>
      </c>
      <c r="H5" s="18" t="s">
        <v>17</v>
      </c>
      <c r="I5" s="21" t="s">
        <v>17</v>
      </c>
      <c r="J5" s="21" t="s">
        <v>17</v>
      </c>
      <c r="K5" s="21" t="s">
        <v>17</v>
      </c>
      <c r="L5" s="21" t="s">
        <v>18</v>
      </c>
      <c r="M5" s="21" t="s">
        <v>17</v>
      </c>
      <c r="N5" s="6"/>
      <c r="O5" s="23" t="s">
        <v>34</v>
      </c>
      <c r="P5" s="18">
        <v>65</v>
      </c>
      <c r="Q5" s="18">
        <v>252.45500000000001</v>
      </c>
      <c r="R5" s="18">
        <v>273.75</v>
      </c>
      <c r="S5" s="18">
        <v>225</v>
      </c>
      <c r="T5" s="18">
        <v>106</v>
      </c>
      <c r="U5" s="18">
        <v>142</v>
      </c>
      <c r="V5" s="18">
        <v>112</v>
      </c>
      <c r="W5" s="18">
        <v>121</v>
      </c>
      <c r="X5" s="18">
        <v>156</v>
      </c>
      <c r="Y5" s="18">
        <v>111</v>
      </c>
      <c r="Z5" s="18">
        <v>65</v>
      </c>
      <c r="AA5" s="18">
        <v>65</v>
      </c>
      <c r="AB5" s="10"/>
      <c r="AC5" s="25" t="s">
        <v>36</v>
      </c>
      <c r="AD5" s="31">
        <f>COUNTIFS(P3:AA10,"&gt;125",P3:AA10,"&lt;251")</f>
        <v>40</v>
      </c>
      <c r="AE5" s="27">
        <f>COUNTIFS(P5:AA11,"&gt;125",P5:AA11,"&lt;251",B5:M11,"=i")</f>
        <v>18</v>
      </c>
      <c r="AF5" s="28">
        <f>COUNTIFS(P5:AA11,"&gt;125",P5:AA11,"&lt;251",B5:M11,"=s")</f>
        <v>4</v>
      </c>
      <c r="AG5" s="30">
        <f>COUNTIFS(P5:AA11,"&gt;125",P5:AA11,"&lt;251",B5:M11,"=g")</f>
        <v>3</v>
      </c>
      <c r="AH5" s="10"/>
    </row>
    <row r="6" spans="1:34">
      <c r="A6" s="16" t="s">
        <v>38</v>
      </c>
      <c r="B6" s="18" t="s">
        <v>17</v>
      </c>
      <c r="C6" s="18" t="s">
        <v>18</v>
      </c>
      <c r="D6" s="18" t="s">
        <v>18</v>
      </c>
      <c r="E6" s="18" t="s">
        <v>17</v>
      </c>
      <c r="F6" s="18" t="s">
        <v>17</v>
      </c>
      <c r="G6" s="18" t="s">
        <v>17</v>
      </c>
      <c r="H6" s="21" t="s">
        <v>17</v>
      </c>
      <c r="I6" s="21" t="s">
        <v>135</v>
      </c>
      <c r="J6" s="21" t="s">
        <v>18</v>
      </c>
      <c r="K6" s="21" t="s">
        <v>17</v>
      </c>
      <c r="L6" s="21" t="s">
        <v>17</v>
      </c>
      <c r="M6" s="21" t="s">
        <v>53</v>
      </c>
      <c r="N6" s="6"/>
      <c r="O6" s="23" t="s">
        <v>38</v>
      </c>
      <c r="P6" s="18">
        <v>350.89299999999997</v>
      </c>
      <c r="Q6" s="18">
        <v>296</v>
      </c>
      <c r="R6" s="18">
        <v>277</v>
      </c>
      <c r="S6" s="18">
        <v>339</v>
      </c>
      <c r="T6" s="18">
        <v>203</v>
      </c>
      <c r="U6" s="18">
        <v>148</v>
      </c>
      <c r="V6" s="18">
        <v>80</v>
      </c>
      <c r="W6" s="18">
        <v>85.2</v>
      </c>
      <c r="X6" s="18">
        <v>63</v>
      </c>
      <c r="Y6" s="18">
        <v>108</v>
      </c>
      <c r="Z6" s="18" t="s">
        <v>69</v>
      </c>
      <c r="AA6" s="18">
        <v>134</v>
      </c>
      <c r="AB6" s="10"/>
      <c r="AC6" s="25" t="s">
        <v>39</v>
      </c>
      <c r="AD6" s="31">
        <f>COUNTIFS(P3:AA10,"&gt;250",P3:AA10,"&lt;501")</f>
        <v>14</v>
      </c>
      <c r="AE6" s="27">
        <f>COUNTIFS(P6:AA12,"&gt;250",P6:AA12,"&lt;501",B6:M12,"=i")</f>
        <v>5</v>
      </c>
      <c r="AF6" s="28">
        <f>COUNTIFS(P6:AA12,"&gt;250",P6:AA12,"&lt;501",B6:M12,"=s")</f>
        <v>6</v>
      </c>
      <c r="AG6" s="30">
        <f>COUNTIFS(P6:AA12,"&gt;250",P6:AA12,"&lt;501",B6:M12,"=g")</f>
        <v>0</v>
      </c>
      <c r="AH6" s="10"/>
    </row>
    <row r="7" spans="1:34">
      <c r="A7" s="16" t="s">
        <v>40</v>
      </c>
      <c r="B7" s="18" t="s">
        <v>18</v>
      </c>
      <c r="C7" s="21" t="s">
        <v>35</v>
      </c>
      <c r="D7" s="18" t="s">
        <v>17</v>
      </c>
      <c r="E7" s="18" t="s">
        <v>17</v>
      </c>
      <c r="F7" s="18" t="s">
        <v>17</v>
      </c>
      <c r="G7" s="21" t="s">
        <v>17</v>
      </c>
      <c r="H7" s="21" t="s">
        <v>17</v>
      </c>
      <c r="I7" s="21" t="s">
        <v>17</v>
      </c>
      <c r="J7" s="21" t="s">
        <v>17</v>
      </c>
      <c r="K7" s="21" t="s">
        <v>53</v>
      </c>
      <c r="L7" s="21" t="s">
        <v>17</v>
      </c>
      <c r="M7" s="21" t="s">
        <v>18</v>
      </c>
      <c r="N7" s="6"/>
      <c r="O7" s="23" t="s">
        <v>40</v>
      </c>
      <c r="P7" s="18">
        <v>252</v>
      </c>
      <c r="Q7" s="18" t="s">
        <v>37</v>
      </c>
      <c r="R7" s="18">
        <v>340</v>
      </c>
      <c r="S7" s="18">
        <v>138</v>
      </c>
      <c r="T7" s="18">
        <v>76</v>
      </c>
      <c r="U7" s="18">
        <v>130</v>
      </c>
      <c r="V7" s="18">
        <v>225</v>
      </c>
      <c r="W7" s="18">
        <v>175</v>
      </c>
      <c r="X7" s="18">
        <v>118</v>
      </c>
      <c r="Y7" s="18">
        <v>136</v>
      </c>
      <c r="Z7" s="18">
        <v>55</v>
      </c>
      <c r="AA7" s="18">
        <v>191</v>
      </c>
      <c r="AB7" s="10"/>
      <c r="AC7" s="25" t="s">
        <v>41</v>
      </c>
      <c r="AD7" s="31">
        <f>COUNTIF(P3:AA10,"&gt;500")</f>
        <v>0</v>
      </c>
      <c r="AE7" s="27">
        <f>COUNTIFS(P7:AA13,"&gt;500",B7:M13,"=i")</f>
        <v>0</v>
      </c>
      <c r="AF7" s="28">
        <f>COUNTIFS(P7:AA13,"&gt;500",B7:M13,"=s")</f>
        <v>0</v>
      </c>
      <c r="AG7" s="30">
        <f>COUNTIFS(P7:AA13,"&gt;500",B7:M13,"=g")</f>
        <v>0</v>
      </c>
      <c r="AH7" s="10"/>
    </row>
    <row r="8" spans="1:34">
      <c r="A8" s="16" t="s">
        <v>42</v>
      </c>
      <c r="B8" s="18" t="s">
        <v>18</v>
      </c>
      <c r="C8" s="21" t="s">
        <v>18</v>
      </c>
      <c r="D8" s="18" t="s">
        <v>17</v>
      </c>
      <c r="E8" s="18" t="s">
        <v>17</v>
      </c>
      <c r="F8" s="18" t="s">
        <v>18</v>
      </c>
      <c r="G8" s="21" t="s">
        <v>18</v>
      </c>
      <c r="H8" s="21" t="s">
        <v>17</v>
      </c>
      <c r="I8" s="21" t="s">
        <v>17</v>
      </c>
      <c r="J8" s="21" t="s">
        <v>17</v>
      </c>
      <c r="K8" s="21" t="s">
        <v>17</v>
      </c>
      <c r="L8" s="21" t="s">
        <v>17</v>
      </c>
      <c r="M8" s="21" t="s">
        <v>53</v>
      </c>
      <c r="N8" s="6"/>
      <c r="O8" s="23" t="s">
        <v>42</v>
      </c>
      <c r="P8" s="18">
        <v>367.5</v>
      </c>
      <c r="Q8" s="18">
        <v>53</v>
      </c>
      <c r="R8" s="18">
        <v>314</v>
      </c>
      <c r="S8" s="18">
        <v>202</v>
      </c>
      <c r="T8" s="18">
        <v>204</v>
      </c>
      <c r="U8" s="18">
        <v>109</v>
      </c>
      <c r="V8" s="18">
        <v>116</v>
      </c>
      <c r="W8" s="18">
        <v>115</v>
      </c>
      <c r="X8" s="18">
        <v>138</v>
      </c>
      <c r="Y8" s="18">
        <v>60</v>
      </c>
      <c r="Z8" s="18">
        <v>99</v>
      </c>
      <c r="AA8" s="18">
        <v>175</v>
      </c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17</v>
      </c>
      <c r="C9" s="18" t="s">
        <v>18</v>
      </c>
      <c r="D9" s="18" t="s">
        <v>17</v>
      </c>
      <c r="E9" s="18" t="s">
        <v>17</v>
      </c>
      <c r="F9" s="18" t="s">
        <v>17</v>
      </c>
      <c r="G9" s="18" t="s">
        <v>17</v>
      </c>
      <c r="H9" s="21" t="s">
        <v>18</v>
      </c>
      <c r="I9" s="21" t="s">
        <v>17</v>
      </c>
      <c r="J9" s="21" t="s">
        <v>35</v>
      </c>
      <c r="K9" s="21" t="s">
        <v>18</v>
      </c>
      <c r="L9" s="21" t="s">
        <v>17</v>
      </c>
      <c r="M9" s="21" t="s">
        <v>17</v>
      </c>
      <c r="N9" s="6"/>
      <c r="O9" s="23" t="s">
        <v>43</v>
      </c>
      <c r="P9" s="18" t="s">
        <v>37</v>
      </c>
      <c r="Q9" s="18">
        <v>490.31200000000001</v>
      </c>
      <c r="R9" s="18">
        <v>155</v>
      </c>
      <c r="S9" s="18">
        <v>149</v>
      </c>
      <c r="T9" s="18">
        <v>282</v>
      </c>
      <c r="U9" s="18">
        <v>104</v>
      </c>
      <c r="V9" s="18">
        <v>194</v>
      </c>
      <c r="W9" s="18" t="s">
        <v>69</v>
      </c>
      <c r="X9" s="18">
        <v>85</v>
      </c>
      <c r="Y9" s="18" t="s">
        <v>69</v>
      </c>
      <c r="Z9" s="18">
        <v>59</v>
      </c>
      <c r="AA9" s="18">
        <v>43</v>
      </c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 t="s">
        <v>17</v>
      </c>
      <c r="C10" s="18" t="s">
        <v>18</v>
      </c>
      <c r="D10" s="18" t="s">
        <v>17</v>
      </c>
      <c r="E10" s="18" t="s">
        <v>17</v>
      </c>
      <c r="F10" s="18" t="s">
        <v>138</v>
      </c>
      <c r="G10" s="18" t="s">
        <v>18</v>
      </c>
      <c r="H10" s="21" t="s">
        <v>17</v>
      </c>
      <c r="I10" s="21" t="s">
        <v>17</v>
      </c>
      <c r="J10" s="21" t="s">
        <v>17</v>
      </c>
      <c r="K10" s="21" t="s">
        <v>17</v>
      </c>
      <c r="L10" s="18" t="s">
        <v>17</v>
      </c>
      <c r="M10" s="18" t="s">
        <v>17</v>
      </c>
      <c r="N10" s="6"/>
      <c r="O10" s="23" t="s">
        <v>47</v>
      </c>
      <c r="P10" s="18">
        <v>137</v>
      </c>
      <c r="Q10" s="18">
        <v>362.81299999999999</v>
      </c>
      <c r="R10" s="18">
        <v>131</v>
      </c>
      <c r="S10" s="18">
        <v>82.6</v>
      </c>
      <c r="T10" s="18" t="s">
        <v>37</v>
      </c>
      <c r="U10" s="18">
        <v>61</v>
      </c>
      <c r="V10" s="18">
        <v>169</v>
      </c>
      <c r="W10" s="18" t="s">
        <v>69</v>
      </c>
      <c r="X10" s="18">
        <v>147</v>
      </c>
      <c r="Y10" s="18">
        <v>131</v>
      </c>
      <c r="Z10" s="18">
        <v>108</v>
      </c>
      <c r="AA10" s="18">
        <v>229</v>
      </c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2" t="s">
        <v>139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 t="s">
        <v>139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>
      <c r="A14" s="4" t="s">
        <v>3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6"/>
      <c r="O14" s="7" t="s">
        <v>8</v>
      </c>
      <c r="P14" s="8">
        <v>1</v>
      </c>
      <c r="Q14" s="8">
        <v>2</v>
      </c>
      <c r="R14" s="8">
        <v>3</v>
      </c>
      <c r="S14" s="8">
        <v>4</v>
      </c>
      <c r="T14" s="8">
        <v>5</v>
      </c>
      <c r="U14" s="8">
        <v>6</v>
      </c>
      <c r="V14" s="8">
        <v>7</v>
      </c>
      <c r="W14" s="8">
        <v>8</v>
      </c>
      <c r="X14" s="8">
        <v>9</v>
      </c>
      <c r="Y14" s="8">
        <v>10</v>
      </c>
      <c r="Z14" s="8">
        <v>11</v>
      </c>
      <c r="AA14" s="8">
        <v>12</v>
      </c>
      <c r="AB14" s="10"/>
      <c r="AC14" s="11" t="s">
        <v>9</v>
      </c>
      <c r="AD14" s="12" t="s">
        <v>10</v>
      </c>
      <c r="AE14" s="13" t="s">
        <v>11</v>
      </c>
      <c r="AF14" s="13" t="s">
        <v>12</v>
      </c>
      <c r="AG14" s="13" t="s">
        <v>13</v>
      </c>
      <c r="AH14" s="14"/>
    </row>
    <row r="15" spans="1:34">
      <c r="A15" s="16" t="s">
        <v>14</v>
      </c>
      <c r="B15" s="18" t="s">
        <v>18</v>
      </c>
      <c r="C15" s="20" t="s">
        <v>17</v>
      </c>
      <c r="D15" s="21" t="s">
        <v>17</v>
      </c>
      <c r="E15" s="18" t="s">
        <v>17</v>
      </c>
      <c r="F15" s="18" t="s">
        <v>18</v>
      </c>
      <c r="G15" s="18" t="s">
        <v>17</v>
      </c>
      <c r="H15" s="18" t="s">
        <v>17</v>
      </c>
      <c r="I15" s="21" t="s">
        <v>53</v>
      </c>
      <c r="J15" s="21" t="s">
        <v>17</v>
      </c>
      <c r="K15" s="21" t="s">
        <v>17</v>
      </c>
      <c r="L15" s="21" t="s">
        <v>17</v>
      </c>
      <c r="M15" s="21" t="s">
        <v>17</v>
      </c>
      <c r="N15" s="6"/>
      <c r="O15" s="23" t="s">
        <v>14</v>
      </c>
      <c r="P15" s="18">
        <v>85</v>
      </c>
      <c r="Q15" s="18">
        <v>125</v>
      </c>
      <c r="R15" s="18">
        <v>135</v>
      </c>
      <c r="S15" s="18">
        <v>69</v>
      </c>
      <c r="T15" s="18">
        <v>101</v>
      </c>
      <c r="U15" s="18">
        <v>140</v>
      </c>
      <c r="V15" s="18">
        <v>152</v>
      </c>
      <c r="W15" s="18">
        <v>220</v>
      </c>
      <c r="X15" s="18">
        <v>52</v>
      </c>
      <c r="Y15" s="18">
        <v>48</v>
      </c>
      <c r="Z15" s="18">
        <v>86</v>
      </c>
      <c r="AA15" s="18" t="s">
        <v>37</v>
      </c>
      <c r="AB15" s="10"/>
      <c r="AC15" s="25" t="s">
        <v>21</v>
      </c>
      <c r="AD15" s="26">
        <f>COUNTIFS(P15:AA22,"&gt;0",P15:AA22,"&lt;51")</f>
        <v>4</v>
      </c>
      <c r="AE15" s="27">
        <f>COUNTIFS(P15:AA22,"&gt;0",P15:AA22,"&lt;51",B15:M22,"=i")</f>
        <v>4</v>
      </c>
      <c r="AF15" s="28">
        <f>COUNTIFS(P15:AA22,"&gt;0",P15:AA22,"&lt;51",B15:M22,"=s")</f>
        <v>0</v>
      </c>
      <c r="AG15" s="30">
        <f>COUNTIFS(P15:AA22,"&gt;0",P15:AA22,"&lt;51",B15:M22,"=g")</f>
        <v>0</v>
      </c>
      <c r="AH15" s="10"/>
    </row>
    <row r="16" spans="1:34">
      <c r="A16" s="16" t="s">
        <v>32</v>
      </c>
      <c r="B16" s="18" t="s">
        <v>18</v>
      </c>
      <c r="C16" s="18" t="s">
        <v>17</v>
      </c>
      <c r="D16" s="18" t="s">
        <v>18</v>
      </c>
      <c r="E16" s="18" t="s">
        <v>17</v>
      </c>
      <c r="F16" s="18" t="s">
        <v>18</v>
      </c>
      <c r="G16" s="18" t="s">
        <v>56</v>
      </c>
      <c r="H16" s="18" t="s">
        <v>17</v>
      </c>
      <c r="I16" s="21" t="s">
        <v>17</v>
      </c>
      <c r="J16" s="21" t="s">
        <v>18</v>
      </c>
      <c r="K16" s="21" t="s">
        <v>18</v>
      </c>
      <c r="L16" s="21" t="s">
        <v>17</v>
      </c>
      <c r="M16" s="21" t="s">
        <v>17</v>
      </c>
      <c r="N16" s="6"/>
      <c r="O16" s="23" t="s">
        <v>32</v>
      </c>
      <c r="P16" s="18">
        <v>112</v>
      </c>
      <c r="Q16" s="18">
        <v>65</v>
      </c>
      <c r="R16" s="18">
        <v>94</v>
      </c>
      <c r="S16" s="18">
        <v>62.5</v>
      </c>
      <c r="T16" s="18">
        <v>81</v>
      </c>
      <c r="U16" s="18">
        <v>139</v>
      </c>
      <c r="V16" s="18" t="s">
        <v>37</v>
      </c>
      <c r="W16" s="18">
        <v>134</v>
      </c>
      <c r="X16" s="18">
        <v>74</v>
      </c>
      <c r="Y16" s="18">
        <v>121</v>
      </c>
      <c r="Z16" s="18">
        <v>55</v>
      </c>
      <c r="AA16" s="18">
        <v>63</v>
      </c>
      <c r="AB16" s="10"/>
      <c r="AC16" s="25" t="s">
        <v>33</v>
      </c>
      <c r="AD16" s="31">
        <f>COUNTIFS(P15:AA22,"&gt;50",P15:AA22,"&lt;126")</f>
        <v>56</v>
      </c>
      <c r="AE16" s="27">
        <f>COUNTIFS(P16:AA23,"&gt;50",P16:AA23,"&lt;126",B16:M23,"=i")</f>
        <v>28</v>
      </c>
      <c r="AF16" s="28">
        <f>COUNTIFS(P16:AA23,"&gt;50",P16:AA23,"&lt;126",B16:M23,"=s")</f>
        <v>22</v>
      </c>
      <c r="AG16" s="30">
        <f>COUNTIFS(P16:AA23,"&gt;50",P16:AA23,"&lt;126",B16:M23,"=g")</f>
        <v>0</v>
      </c>
      <c r="AH16" s="10"/>
    </row>
    <row r="17" spans="1:34">
      <c r="A17" s="16" t="s">
        <v>34</v>
      </c>
      <c r="B17" s="18" t="s">
        <v>18</v>
      </c>
      <c r="C17" s="18" t="s">
        <v>17</v>
      </c>
      <c r="D17" s="18" t="s">
        <v>18</v>
      </c>
      <c r="E17" s="18" t="s">
        <v>17</v>
      </c>
      <c r="F17" s="18" t="s">
        <v>17</v>
      </c>
      <c r="G17" s="18" t="s">
        <v>17</v>
      </c>
      <c r="H17" s="18" t="s">
        <v>17</v>
      </c>
      <c r="I17" s="21" t="s">
        <v>18</v>
      </c>
      <c r="J17" s="21" t="s">
        <v>17</v>
      </c>
      <c r="K17" s="21" t="s">
        <v>17</v>
      </c>
      <c r="L17" s="21" t="s">
        <v>18</v>
      </c>
      <c r="M17" s="21" t="s">
        <v>18</v>
      </c>
      <c r="N17" s="6"/>
      <c r="O17" s="23" t="s">
        <v>34</v>
      </c>
      <c r="P17" s="18">
        <v>147</v>
      </c>
      <c r="Q17" s="18">
        <v>141</v>
      </c>
      <c r="R17" s="18">
        <v>145</v>
      </c>
      <c r="S17" s="18">
        <v>63</v>
      </c>
      <c r="T17" s="18">
        <v>120</v>
      </c>
      <c r="U17" s="18">
        <v>284</v>
      </c>
      <c r="V17" s="18">
        <v>165</v>
      </c>
      <c r="W17" s="18">
        <v>153</v>
      </c>
      <c r="X17" s="18">
        <v>166</v>
      </c>
      <c r="Y17" s="18">
        <v>110</v>
      </c>
      <c r="Z17" s="18">
        <v>110</v>
      </c>
      <c r="AA17" s="18">
        <v>117</v>
      </c>
      <c r="AB17" s="10"/>
      <c r="AC17" s="25" t="s">
        <v>36</v>
      </c>
      <c r="AD17" s="31">
        <f>COUNTIFS(P15:AA22,"&gt;125",P15:AA22,"&lt;251")</f>
        <v>27</v>
      </c>
      <c r="AE17" s="27">
        <f>COUNTIFS(P17:AA24,"&gt;125",P17:AA24,"&lt;251",B17:M24,"=i")</f>
        <v>9</v>
      </c>
      <c r="AF17" s="28">
        <f>COUNTIFS(P17:AA24,"&gt;125",P17:AA24,"&lt;251",B17:M24,"=s")</f>
        <v>9</v>
      </c>
      <c r="AG17" s="30">
        <f>COUNTIFS(P17:AA24,"&gt;125",P17:AA24,"&lt;251",B17:M24,"=g")</f>
        <v>1</v>
      </c>
      <c r="AH17" s="10"/>
    </row>
    <row r="18" spans="1:34">
      <c r="A18" s="16" t="s">
        <v>38</v>
      </c>
      <c r="B18" s="18" t="s">
        <v>17</v>
      </c>
      <c r="C18" s="18" t="s">
        <v>18</v>
      </c>
      <c r="D18" s="18" t="s">
        <v>17</v>
      </c>
      <c r="E18" s="18" t="s">
        <v>17</v>
      </c>
      <c r="F18" s="18" t="s">
        <v>35</v>
      </c>
      <c r="G18" s="18" t="s">
        <v>17</v>
      </c>
      <c r="H18" s="21" t="s">
        <v>17</v>
      </c>
      <c r="I18" s="21" t="s">
        <v>17</v>
      </c>
      <c r="J18" s="21" t="s">
        <v>18</v>
      </c>
      <c r="K18" s="21" t="s">
        <v>17</v>
      </c>
      <c r="L18" s="21" t="s">
        <v>18</v>
      </c>
      <c r="M18" s="21" t="s">
        <v>17</v>
      </c>
      <c r="N18" s="6"/>
      <c r="O18" s="23" t="s">
        <v>38</v>
      </c>
      <c r="P18" s="18" t="s">
        <v>37</v>
      </c>
      <c r="Q18" s="18">
        <v>115</v>
      </c>
      <c r="R18" s="18">
        <v>104</v>
      </c>
      <c r="S18" s="18">
        <v>87</v>
      </c>
      <c r="T18" s="18">
        <v>216</v>
      </c>
      <c r="U18" s="18">
        <v>43</v>
      </c>
      <c r="V18" s="18">
        <v>103</v>
      </c>
      <c r="W18" s="18" t="s">
        <v>37</v>
      </c>
      <c r="X18" s="18">
        <v>167</v>
      </c>
      <c r="Y18" s="18">
        <v>98</v>
      </c>
      <c r="Z18" s="18">
        <v>205</v>
      </c>
      <c r="AA18" s="18">
        <v>25</v>
      </c>
      <c r="AB18" s="10"/>
      <c r="AC18" s="25" t="s">
        <v>39</v>
      </c>
      <c r="AD18" s="31">
        <f>COUNTIFS(P15:AA22,"&gt;250",P15:AA22,"&lt;501")</f>
        <v>2</v>
      </c>
      <c r="AE18" s="27">
        <f>COUNTIFS(P18:AA24,"&gt;250",P18:AA24,"&lt;501",B18:M24,"=i")</f>
        <v>1</v>
      </c>
      <c r="AF18" s="28">
        <f>COUNTIFS(P18:AA24,"&gt;250",P18:AA24,"&lt;501",B18:M24,"=s")</f>
        <v>0</v>
      </c>
      <c r="AG18" s="30">
        <f>COUNTIFS(P18:AA24,"&gt;250",P18:AA24,"&lt;501",B18:M24,"=g")</f>
        <v>0</v>
      </c>
      <c r="AH18" s="10"/>
    </row>
    <row r="19" spans="1:34">
      <c r="A19" s="16" t="s">
        <v>40</v>
      </c>
      <c r="B19" s="18" t="s">
        <v>17</v>
      </c>
      <c r="C19" s="21" t="s">
        <v>17</v>
      </c>
      <c r="D19" s="18" t="s">
        <v>17</v>
      </c>
      <c r="E19" s="18" t="s">
        <v>17</v>
      </c>
      <c r="F19" s="18" t="s">
        <v>18</v>
      </c>
      <c r="G19" s="21" t="s">
        <v>17</v>
      </c>
      <c r="H19" s="21" t="s">
        <v>17</v>
      </c>
      <c r="I19" s="21" t="s">
        <v>17</v>
      </c>
      <c r="J19" s="21" t="s">
        <v>18</v>
      </c>
      <c r="K19" s="21" t="s">
        <v>17</v>
      </c>
      <c r="L19" s="21" t="s">
        <v>18</v>
      </c>
      <c r="M19" s="21" t="s">
        <v>17</v>
      </c>
      <c r="N19" s="6"/>
      <c r="O19" s="23" t="s">
        <v>40</v>
      </c>
      <c r="P19" s="18">
        <v>120</v>
      </c>
      <c r="Q19" s="18">
        <v>156</v>
      </c>
      <c r="R19" s="18">
        <v>30</v>
      </c>
      <c r="S19" s="18">
        <v>54</v>
      </c>
      <c r="T19" s="18">
        <v>89</v>
      </c>
      <c r="U19" s="18">
        <v>125</v>
      </c>
      <c r="V19" s="18">
        <v>106</v>
      </c>
      <c r="W19" s="18">
        <v>125</v>
      </c>
      <c r="X19" s="18">
        <v>104</v>
      </c>
      <c r="Y19" s="18">
        <v>182</v>
      </c>
      <c r="Z19" s="18">
        <v>120</v>
      </c>
      <c r="AA19" s="18">
        <v>139</v>
      </c>
      <c r="AB19" s="10"/>
      <c r="AC19" s="25" t="s">
        <v>41</v>
      </c>
      <c r="AD19" s="31">
        <f>COUNTIF(P15:AA22,"&gt;500")</f>
        <v>0</v>
      </c>
      <c r="AE19" s="27">
        <f>COUNTIFS(P19:AA25,"&gt;500",B19:M25,"=i")</f>
        <v>0</v>
      </c>
      <c r="AF19" s="28">
        <f>COUNTIFS(P19:AA25,"&gt;500",B19:M25,"=s")</f>
        <v>0</v>
      </c>
      <c r="AG19" s="30">
        <f>COUNTIFS(P19:AA25,"&gt;500",B19:M25,"=g")</f>
        <v>0</v>
      </c>
      <c r="AH19" s="10"/>
    </row>
    <row r="20" spans="1:34">
      <c r="A20" s="16" t="s">
        <v>42</v>
      </c>
      <c r="B20" s="18" t="s">
        <v>18</v>
      </c>
      <c r="C20" s="21" t="s">
        <v>17</v>
      </c>
      <c r="D20" s="18" t="s">
        <v>18</v>
      </c>
      <c r="E20" s="18" t="s">
        <v>35</v>
      </c>
      <c r="F20" s="18" t="s">
        <v>18</v>
      </c>
      <c r="G20" s="21" t="s">
        <v>17</v>
      </c>
      <c r="H20" s="21" t="s">
        <v>18</v>
      </c>
      <c r="I20" s="21" t="s">
        <v>17</v>
      </c>
      <c r="J20" s="21" t="s">
        <v>17</v>
      </c>
      <c r="K20" s="21" t="s">
        <v>17</v>
      </c>
      <c r="L20" s="21" t="s">
        <v>17</v>
      </c>
      <c r="M20" s="21" t="s">
        <v>17</v>
      </c>
      <c r="N20" s="6"/>
      <c r="O20" s="23" t="s">
        <v>42</v>
      </c>
      <c r="P20" s="18">
        <v>96.3</v>
      </c>
      <c r="Q20" s="18">
        <v>180</v>
      </c>
      <c r="R20" s="18">
        <v>76</v>
      </c>
      <c r="S20" s="18">
        <v>141</v>
      </c>
      <c r="T20" s="18">
        <v>89</v>
      </c>
      <c r="U20" s="18">
        <v>53</v>
      </c>
      <c r="V20" s="18">
        <v>108</v>
      </c>
      <c r="W20" s="18">
        <v>219</v>
      </c>
      <c r="X20" s="18">
        <v>56</v>
      </c>
      <c r="Y20" s="18">
        <v>95</v>
      </c>
      <c r="Z20" s="18">
        <v>58</v>
      </c>
      <c r="AA20" s="18" t="s">
        <v>37</v>
      </c>
      <c r="AB20" s="10"/>
      <c r="AC20" s="10"/>
      <c r="AD20" s="10"/>
      <c r="AE20" s="10"/>
      <c r="AF20" s="10"/>
      <c r="AG20" s="10"/>
      <c r="AH20" s="10"/>
    </row>
    <row r="21" spans="1:34">
      <c r="A21" s="16" t="s">
        <v>43</v>
      </c>
      <c r="B21" s="18" t="s">
        <v>17</v>
      </c>
      <c r="C21" s="18" t="s">
        <v>18</v>
      </c>
      <c r="D21" s="18" t="s">
        <v>17</v>
      </c>
      <c r="E21" s="18" t="s">
        <v>17</v>
      </c>
      <c r="F21" s="18" t="s">
        <v>17</v>
      </c>
      <c r="G21" s="18" t="s">
        <v>18</v>
      </c>
      <c r="H21" s="21" t="s">
        <v>18</v>
      </c>
      <c r="I21" s="21" t="s">
        <v>53</v>
      </c>
      <c r="J21" s="21" t="s">
        <v>18</v>
      </c>
      <c r="K21" s="21" t="s">
        <v>18</v>
      </c>
      <c r="L21" s="21" t="s">
        <v>18</v>
      </c>
      <c r="M21" s="21" t="s">
        <v>17</v>
      </c>
      <c r="N21" s="6"/>
      <c r="O21" s="23" t="s">
        <v>43</v>
      </c>
      <c r="P21" s="18">
        <v>104</v>
      </c>
      <c r="Q21" s="18">
        <v>107</v>
      </c>
      <c r="R21" s="18">
        <v>81</v>
      </c>
      <c r="S21" s="18">
        <v>117</v>
      </c>
      <c r="T21" s="18">
        <v>124</v>
      </c>
      <c r="U21" s="18">
        <v>132</v>
      </c>
      <c r="V21" s="18">
        <v>103</v>
      </c>
      <c r="W21" s="18">
        <v>158</v>
      </c>
      <c r="X21" s="18">
        <v>61</v>
      </c>
      <c r="Y21" s="18">
        <v>124</v>
      </c>
      <c r="Z21" s="18">
        <v>118</v>
      </c>
      <c r="AA21" s="18">
        <v>52</v>
      </c>
      <c r="AB21" s="10"/>
      <c r="AC21" s="10"/>
      <c r="AD21" s="10"/>
      <c r="AE21" s="10"/>
      <c r="AF21" s="10"/>
      <c r="AG21" s="10"/>
      <c r="AH21" s="10"/>
    </row>
    <row r="22" spans="1:34">
      <c r="A22" s="16" t="s">
        <v>47</v>
      </c>
      <c r="B22" s="18" t="s">
        <v>18</v>
      </c>
      <c r="C22" s="18" t="s">
        <v>17</v>
      </c>
      <c r="D22" s="18" t="s">
        <v>17</v>
      </c>
      <c r="E22" s="18" t="s">
        <v>18</v>
      </c>
      <c r="F22" s="18" t="s">
        <v>18</v>
      </c>
      <c r="G22" s="18" t="s">
        <v>17</v>
      </c>
      <c r="H22" s="21" t="s">
        <v>18</v>
      </c>
      <c r="I22" s="21" t="s">
        <v>17</v>
      </c>
      <c r="J22" s="21" t="s">
        <v>18</v>
      </c>
      <c r="K22" s="21" t="s">
        <v>17</v>
      </c>
      <c r="L22" s="18" t="s">
        <v>17</v>
      </c>
      <c r="M22" s="18" t="s">
        <v>17</v>
      </c>
      <c r="N22" s="6"/>
      <c r="O22" s="23" t="s">
        <v>47</v>
      </c>
      <c r="P22" s="18">
        <v>105</v>
      </c>
      <c r="Q22" s="18">
        <v>186</v>
      </c>
      <c r="R22" s="18">
        <v>55.3</v>
      </c>
      <c r="S22" s="18">
        <v>65</v>
      </c>
      <c r="T22" s="18">
        <v>149</v>
      </c>
      <c r="U22" s="18">
        <v>56</v>
      </c>
      <c r="V22" s="18">
        <v>155</v>
      </c>
      <c r="W22" s="18" t="s">
        <v>37</v>
      </c>
      <c r="X22" s="18">
        <v>150</v>
      </c>
      <c r="Y22" s="18">
        <v>254</v>
      </c>
      <c r="Z22" s="18" t="s">
        <v>37</v>
      </c>
      <c r="AA22" s="18">
        <v>51</v>
      </c>
      <c r="AB22" s="10"/>
      <c r="AC22" s="10"/>
      <c r="AD22" s="10"/>
      <c r="AE22" s="10"/>
      <c r="AF22" s="10"/>
      <c r="AG22" s="10"/>
      <c r="AH22" s="10"/>
    </row>
    <row r="23" spans="1:3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AF23" s="3"/>
      <c r="AG23" s="3"/>
      <c r="AH23" s="3"/>
    </row>
    <row r="24" spans="1:3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2" t="s">
        <v>140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 t="s">
        <v>140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4" t="s">
        <v>3</v>
      </c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M26" s="5">
        <v>12</v>
      </c>
      <c r="N26" s="6"/>
      <c r="O26" s="7" t="s">
        <v>8</v>
      </c>
      <c r="P26" s="8">
        <v>1</v>
      </c>
      <c r="Q26" s="8">
        <v>2</v>
      </c>
      <c r="R26" s="8">
        <v>3</v>
      </c>
      <c r="S26" s="8">
        <v>4</v>
      </c>
      <c r="T26" s="8">
        <v>5</v>
      </c>
      <c r="U26" s="8">
        <v>6</v>
      </c>
      <c r="V26" s="8">
        <v>7</v>
      </c>
      <c r="W26" s="8">
        <v>8</v>
      </c>
      <c r="X26" s="8">
        <v>9</v>
      </c>
      <c r="Y26" s="8">
        <v>10</v>
      </c>
      <c r="Z26" s="8">
        <v>11</v>
      </c>
      <c r="AA26" s="8">
        <v>12</v>
      </c>
      <c r="AB26" s="10"/>
      <c r="AC26" s="11" t="s">
        <v>9</v>
      </c>
      <c r="AD26" s="12" t="s">
        <v>10</v>
      </c>
      <c r="AE26" s="13" t="s">
        <v>11</v>
      </c>
      <c r="AF26" s="13" t="s">
        <v>12</v>
      </c>
      <c r="AG26" s="13" t="s">
        <v>13</v>
      </c>
      <c r="AH26" s="14"/>
    </row>
    <row r="27" spans="1:34">
      <c r="A27" s="16" t="s">
        <v>14</v>
      </c>
      <c r="B27" s="18" t="s">
        <v>17</v>
      </c>
      <c r="C27" s="20" t="s">
        <v>18</v>
      </c>
      <c r="D27" s="21" t="s">
        <v>53</v>
      </c>
      <c r="E27" s="18" t="s">
        <v>17</v>
      </c>
      <c r="F27" s="18" t="s">
        <v>18</v>
      </c>
      <c r="G27" s="18" t="s">
        <v>18</v>
      </c>
      <c r="H27" s="24"/>
      <c r="I27" s="22"/>
      <c r="J27" s="22"/>
      <c r="K27" s="22"/>
      <c r="L27" s="22"/>
      <c r="M27" s="22"/>
      <c r="N27" s="6"/>
      <c r="O27" s="23" t="s">
        <v>14</v>
      </c>
      <c r="P27" s="18">
        <v>193</v>
      </c>
      <c r="Q27" s="18">
        <v>338</v>
      </c>
      <c r="R27" s="18">
        <v>99</v>
      </c>
      <c r="S27" s="18">
        <v>53</v>
      </c>
      <c r="T27" s="18">
        <v>177</v>
      </c>
      <c r="U27" s="18">
        <v>138</v>
      </c>
      <c r="V27" s="24"/>
      <c r="W27" s="24"/>
      <c r="X27" s="24"/>
      <c r="Y27" s="24"/>
      <c r="Z27" s="24"/>
      <c r="AA27" s="24"/>
      <c r="AB27" s="10"/>
      <c r="AC27" s="25" t="s">
        <v>21</v>
      </c>
      <c r="AD27" s="26">
        <f>COUNTIFS(P27:AA34,"&gt;0",P27:AA34,"&lt;51")</f>
        <v>1</v>
      </c>
      <c r="AE27" s="27">
        <f>COUNTIFS(P27:AA34,"&gt;0",P27:AA34,"&lt;51",B27:M34,"=i")</f>
        <v>1</v>
      </c>
      <c r="AF27" s="28">
        <f>COUNTIFS(P27:AA34,"&gt;0",P27:AA34,"&lt;51",B27:M34,"=s")</f>
        <v>0</v>
      </c>
      <c r="AG27" s="30">
        <f>COUNTIFS(P27:AA34,"&gt;0",P27:AA34,"&lt;51",B27:M34,"=g")</f>
        <v>0</v>
      </c>
      <c r="AH27" s="10"/>
    </row>
    <row r="28" spans="1:34">
      <c r="A28" s="16" t="s">
        <v>32</v>
      </c>
      <c r="B28" s="18" t="s">
        <v>17</v>
      </c>
      <c r="C28" s="18" t="s">
        <v>18</v>
      </c>
      <c r="D28" s="18" t="s">
        <v>18</v>
      </c>
      <c r="E28" s="18" t="s">
        <v>17</v>
      </c>
      <c r="F28" s="18" t="s">
        <v>17</v>
      </c>
      <c r="G28" s="18" t="s">
        <v>17</v>
      </c>
      <c r="H28" s="24"/>
      <c r="I28" s="22"/>
      <c r="J28" s="22"/>
      <c r="K28" s="22"/>
      <c r="L28" s="22"/>
      <c r="M28" s="22"/>
      <c r="N28" s="6"/>
      <c r="O28" s="23" t="s">
        <v>32</v>
      </c>
      <c r="P28" s="18">
        <v>113</v>
      </c>
      <c r="Q28" s="18" t="s">
        <v>37</v>
      </c>
      <c r="R28" s="18">
        <v>240</v>
      </c>
      <c r="S28" s="18">
        <v>45</v>
      </c>
      <c r="T28" s="18">
        <v>113</v>
      </c>
      <c r="U28" s="18">
        <v>85</v>
      </c>
      <c r="V28" s="24"/>
      <c r="W28" s="24"/>
      <c r="X28" s="24"/>
      <c r="Y28" s="24"/>
      <c r="Z28" s="24"/>
      <c r="AA28" s="24"/>
      <c r="AB28" s="10"/>
      <c r="AC28" s="25" t="s">
        <v>33</v>
      </c>
      <c r="AD28" s="31">
        <f>COUNTIFS(P27:AA34,"&gt;50",P27:AA34,"&lt;126")</f>
        <v>17</v>
      </c>
      <c r="AE28" s="27">
        <f>COUNTIFS(P28:AA34,"&gt;50",P28:AA34,"&lt;126",B28:M34,"=i")</f>
        <v>8</v>
      </c>
      <c r="AF28" s="28">
        <f>COUNTIFS(P28:AA34,"&gt;50",P28:AA34,"&lt;126",B28:M34,"=s")</f>
        <v>7</v>
      </c>
      <c r="AG28" s="30">
        <f>COUNTIFS(P28:AA34,"&gt;50",P28:AA34,"&lt;126",B28:M34,"=g")</f>
        <v>0</v>
      </c>
      <c r="AH28" s="10"/>
    </row>
    <row r="29" spans="1:34">
      <c r="A29" s="16" t="s">
        <v>34</v>
      </c>
      <c r="B29" s="18" t="s">
        <v>18</v>
      </c>
      <c r="C29" s="18" t="s">
        <v>17</v>
      </c>
      <c r="D29" s="18" t="s">
        <v>18</v>
      </c>
      <c r="E29" s="18" t="s">
        <v>18</v>
      </c>
      <c r="F29" s="18" t="s">
        <v>18</v>
      </c>
      <c r="G29" s="18" t="s">
        <v>18</v>
      </c>
      <c r="H29" s="24"/>
      <c r="I29" s="22"/>
      <c r="J29" s="22"/>
      <c r="K29" s="22"/>
      <c r="L29" s="22"/>
      <c r="M29" s="22"/>
      <c r="N29" s="6"/>
      <c r="O29" s="23" t="s">
        <v>34</v>
      </c>
      <c r="P29" s="18">
        <v>194</v>
      </c>
      <c r="Q29" s="18" t="s">
        <v>37</v>
      </c>
      <c r="R29" s="18">
        <v>260</v>
      </c>
      <c r="S29" s="18">
        <v>70</v>
      </c>
      <c r="T29" s="18">
        <v>119</v>
      </c>
      <c r="U29" s="18">
        <v>97</v>
      </c>
      <c r="V29" s="24"/>
      <c r="W29" s="24"/>
      <c r="X29" s="24"/>
      <c r="Y29" s="24"/>
      <c r="Z29" s="24"/>
      <c r="AA29" s="24"/>
      <c r="AB29" s="10"/>
      <c r="AC29" s="25" t="s">
        <v>36</v>
      </c>
      <c r="AD29" s="31">
        <f>COUNTIFS(P27:AA34,"&gt;125",P27:AA34,"&lt;251")</f>
        <v>14</v>
      </c>
      <c r="AE29" s="27">
        <f>COUNTIFS(P29:AA34,"&gt;125",P29:AA34,"&lt;251",B29:M34,"=i")</f>
        <v>4</v>
      </c>
      <c r="AF29" s="28">
        <f>COUNTIFS(P29:AA34,"&gt;125",P29:AA34,"&lt;251",B29:M34,"=s")</f>
        <v>6</v>
      </c>
      <c r="AG29" s="30">
        <f>COUNTIFS(P29:AA34,"&gt;125",P29:AA34,"&lt;251",B29:M34,"=g")</f>
        <v>0</v>
      </c>
      <c r="AH29" s="10"/>
    </row>
    <row r="30" spans="1:34">
      <c r="A30" s="16" t="s">
        <v>38</v>
      </c>
      <c r="B30" s="18" t="s">
        <v>18</v>
      </c>
      <c r="C30" s="18" t="s">
        <v>17</v>
      </c>
      <c r="D30" s="18" t="s">
        <v>17</v>
      </c>
      <c r="E30" s="18" t="s">
        <v>17</v>
      </c>
      <c r="F30" s="18" t="s">
        <v>17</v>
      </c>
      <c r="G30" s="18" t="s">
        <v>18</v>
      </c>
      <c r="H30" s="22"/>
      <c r="I30" s="22"/>
      <c r="J30" s="22"/>
      <c r="K30" s="22"/>
      <c r="L30" s="22"/>
      <c r="M30" s="22"/>
      <c r="N30" s="6"/>
      <c r="O30" s="23" t="s">
        <v>38</v>
      </c>
      <c r="P30" s="18">
        <v>227</v>
      </c>
      <c r="Q30" s="18">
        <v>240</v>
      </c>
      <c r="R30" s="18" t="s">
        <v>37</v>
      </c>
      <c r="S30" s="18">
        <v>85</v>
      </c>
      <c r="T30" s="18">
        <v>95</v>
      </c>
      <c r="U30" s="18" t="s">
        <v>37</v>
      </c>
      <c r="V30" s="24"/>
      <c r="W30" s="24"/>
      <c r="X30" s="24"/>
      <c r="Y30" s="24"/>
      <c r="Z30" s="24"/>
      <c r="AA30" s="24"/>
      <c r="AB30" s="10"/>
      <c r="AC30" s="25" t="s">
        <v>39</v>
      </c>
      <c r="AD30" s="31">
        <f>COUNTIFS(P27:AA34,"&gt;250",P27:AA34,"&lt;501")</f>
        <v>4</v>
      </c>
      <c r="AE30" s="27">
        <f>COUNTIFS(P30:AA34,"&gt;250",P30:AA34,"&lt;501",B30:M34,"=i")</f>
        <v>0</v>
      </c>
      <c r="AF30" s="28">
        <f>COUNTIFS(P30:AA34,"&gt;250",P30:AA34,"&lt;501",B30:M34,"=s")</f>
        <v>2</v>
      </c>
      <c r="AG30" s="30">
        <f>COUNTIFS(P30:AA34,"&gt;250",P30:AA34,"&lt;501",B30:M34,"=g")</f>
        <v>0</v>
      </c>
      <c r="AH30" s="10"/>
    </row>
    <row r="31" spans="1:34">
      <c r="A31" s="16" t="s">
        <v>40</v>
      </c>
      <c r="B31" s="18" t="s">
        <v>18</v>
      </c>
      <c r="C31" s="21" t="s">
        <v>17</v>
      </c>
      <c r="D31" s="18" t="s">
        <v>18</v>
      </c>
      <c r="E31" s="18" t="s">
        <v>18</v>
      </c>
      <c r="F31" s="18" t="s">
        <v>18</v>
      </c>
      <c r="G31" s="22"/>
      <c r="H31" s="22"/>
      <c r="I31" s="22"/>
      <c r="J31" s="22"/>
      <c r="K31" s="22"/>
      <c r="L31" s="22"/>
      <c r="M31" s="22"/>
      <c r="N31" s="6"/>
      <c r="O31" s="23" t="s">
        <v>40</v>
      </c>
      <c r="P31" s="18">
        <v>114</v>
      </c>
      <c r="Q31" s="18">
        <v>148</v>
      </c>
      <c r="R31" s="18">
        <v>260</v>
      </c>
      <c r="S31" s="18">
        <v>54</v>
      </c>
      <c r="T31" s="18">
        <v>153</v>
      </c>
      <c r="U31" s="24"/>
      <c r="V31" s="24"/>
      <c r="W31" s="24"/>
      <c r="X31" s="24"/>
      <c r="Y31" s="24"/>
      <c r="Z31" s="24"/>
      <c r="AA31" s="24"/>
      <c r="AB31" s="10"/>
      <c r="AC31" s="25" t="s">
        <v>41</v>
      </c>
      <c r="AD31" s="31">
        <f>COUNTIF(P27:AA34,"&gt;500")</f>
        <v>0</v>
      </c>
      <c r="AE31" s="27">
        <f>COUNTIFS(P31:AA35,"&gt;500",B31:M35,"=i")</f>
        <v>0</v>
      </c>
      <c r="AF31" s="28">
        <f>COUNTIFS(P31:AA35,"&gt;500",B31:M35,"=s")</f>
        <v>0</v>
      </c>
      <c r="AG31" s="30">
        <f>COUNTIFS(P31:AA35,"&gt;500",B31:M35,"=g")</f>
        <v>0</v>
      </c>
      <c r="AH31" s="10"/>
    </row>
    <row r="32" spans="1:34">
      <c r="A32" s="16" t="s">
        <v>42</v>
      </c>
      <c r="B32" s="18" t="s">
        <v>18</v>
      </c>
      <c r="C32" s="21" t="s">
        <v>18</v>
      </c>
      <c r="D32" s="18" t="s">
        <v>18</v>
      </c>
      <c r="E32" s="18" t="s">
        <v>17</v>
      </c>
      <c r="F32" s="18" t="s">
        <v>17</v>
      </c>
      <c r="G32" s="22"/>
      <c r="H32" s="22"/>
      <c r="I32" s="22"/>
      <c r="J32" s="22"/>
      <c r="K32" s="22"/>
      <c r="L32" s="22"/>
      <c r="M32" s="22"/>
      <c r="N32" s="6"/>
      <c r="O32" s="23" t="s">
        <v>42</v>
      </c>
      <c r="P32" s="18">
        <v>469</v>
      </c>
      <c r="Q32" s="18" t="s">
        <v>37</v>
      </c>
      <c r="R32" s="18">
        <v>68</v>
      </c>
      <c r="S32" s="18">
        <v>197</v>
      </c>
      <c r="T32" s="18">
        <v>99</v>
      </c>
      <c r="U32" s="24"/>
      <c r="V32" s="24"/>
      <c r="W32" s="24"/>
      <c r="X32" s="24"/>
      <c r="Y32" s="24"/>
      <c r="Z32" s="24"/>
      <c r="AA32" s="24"/>
      <c r="AB32" s="10"/>
      <c r="AC32" s="10"/>
      <c r="AD32" s="10"/>
      <c r="AE32" s="10"/>
      <c r="AF32" s="10"/>
      <c r="AG32" s="10"/>
      <c r="AH32" s="10"/>
    </row>
    <row r="33" spans="1:34">
      <c r="A33" s="16" t="s">
        <v>43</v>
      </c>
      <c r="B33" s="18" t="s">
        <v>18</v>
      </c>
      <c r="C33" s="18" t="s">
        <v>18</v>
      </c>
      <c r="D33" s="18" t="s">
        <v>17</v>
      </c>
      <c r="E33" s="18" t="s">
        <v>18</v>
      </c>
      <c r="F33" s="18" t="s">
        <v>18</v>
      </c>
      <c r="G33" s="24"/>
      <c r="H33" s="22"/>
      <c r="I33" s="22"/>
      <c r="J33" s="22"/>
      <c r="K33" s="22"/>
      <c r="L33" s="22"/>
      <c r="M33" s="22"/>
      <c r="N33" s="6"/>
      <c r="O33" s="23" t="s">
        <v>43</v>
      </c>
      <c r="P33" s="18">
        <v>223</v>
      </c>
      <c r="Q33" s="18">
        <v>167</v>
      </c>
      <c r="R33" s="18" t="s">
        <v>37</v>
      </c>
      <c r="S33" s="18">
        <v>77</v>
      </c>
      <c r="T33" s="18">
        <v>136</v>
      </c>
      <c r="U33" s="24"/>
      <c r="V33" s="24"/>
      <c r="W33" s="24"/>
      <c r="X33" s="24"/>
      <c r="Y33" s="24"/>
      <c r="Z33" s="24"/>
      <c r="AA33" s="24"/>
      <c r="AB33" s="10"/>
      <c r="AC33" s="10"/>
      <c r="AE33" s="10"/>
      <c r="AF33" s="10"/>
      <c r="AG33" s="10"/>
      <c r="AH33" s="10"/>
    </row>
    <row r="34" spans="1:34">
      <c r="A34" s="16" t="s">
        <v>47</v>
      </c>
      <c r="B34" s="18" t="s">
        <v>17</v>
      </c>
      <c r="C34" s="18" t="s">
        <v>17</v>
      </c>
      <c r="D34" s="18" t="s">
        <v>17</v>
      </c>
      <c r="E34" s="18" t="s">
        <v>18</v>
      </c>
      <c r="F34" s="18" t="s">
        <v>17</v>
      </c>
      <c r="G34" s="24"/>
      <c r="H34" s="22"/>
      <c r="I34" s="22"/>
      <c r="J34" s="22"/>
      <c r="K34" s="22"/>
      <c r="L34" s="24"/>
      <c r="M34" s="24"/>
      <c r="N34" s="6"/>
      <c r="O34" s="23" t="s">
        <v>47</v>
      </c>
      <c r="P34" s="18" t="s">
        <v>37</v>
      </c>
      <c r="Q34" s="18">
        <v>64</v>
      </c>
      <c r="R34" s="18">
        <v>138</v>
      </c>
      <c r="S34" s="18" t="s">
        <v>37</v>
      </c>
      <c r="T34" s="18">
        <v>85</v>
      </c>
      <c r="U34" s="24"/>
      <c r="V34" s="24"/>
      <c r="W34" s="24"/>
      <c r="X34" s="24"/>
      <c r="Y34" s="24"/>
      <c r="Z34" s="24"/>
      <c r="AA34" s="24"/>
      <c r="AB34" s="10"/>
      <c r="AC34" s="3" t="s">
        <v>48</v>
      </c>
      <c r="AD34" s="3">
        <f>1+(SUM(AD3:AD7,AD15:AD19,AD27:AD31))</f>
        <v>214</v>
      </c>
      <c r="AE34" s="10"/>
      <c r="AF34" s="10"/>
      <c r="AG34" s="10"/>
      <c r="AH34" s="10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E35" s="3"/>
      <c r="AF35" s="3"/>
      <c r="AG35" s="3"/>
      <c r="AH35" s="3"/>
    </row>
    <row r="36" spans="1:34">
      <c r="A36" s="203" t="s">
        <v>705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</sheetData>
  <conditionalFormatting sqref="P15:AA22 P27:AA34">
    <cfRule type="cellIs" dxfId="23" priority="1" operator="equal">
      <formula>"N"</formula>
    </cfRule>
  </conditionalFormatting>
  <conditionalFormatting sqref="P3:AA10 P15:AA22 P27:AA34">
    <cfRule type="cellIs" dxfId="22" priority="2" operator="equal">
      <formula>"u"</formula>
    </cfRule>
  </conditionalFormatting>
  <conditionalFormatting sqref="P3:AA10 P15:AA22 P27:AA34">
    <cfRule type="cellIs" dxfId="21" priority="3" operator="equal">
      <formula>"?"</formula>
    </cfRule>
  </conditionalFormatting>
  <conditionalFormatting sqref="P3:AA10 P15:AA22 P27:AA34">
    <cfRule type="cellIs" dxfId="20" priority="4" operator="equal">
      <formula>"X"</formula>
    </cfRule>
  </conditionalFormatting>
  <conditionalFormatting sqref="P3:Q10 R3:R5">
    <cfRule type="endsWith" dxfId="19" priority="5" operator="endsWith" text="SEM">
      <formula>RIGHT((P3),LEN("SEM"))=("SEM")</formula>
    </cfRule>
  </conditionalFormatting>
  <conditionalFormatting sqref="P3:AA10 P15:AA22 P27:AA34">
    <cfRule type="cellIs" dxfId="18" priority="6" operator="equal">
      <formula>0</formula>
    </cfRule>
  </conditionalFormatting>
  <conditionalFormatting sqref="P3:AA10 P15:AA22 P27:AA34">
    <cfRule type="notContainsBlanks" dxfId="17" priority="7">
      <formula>LEN(TRIM(P3))&gt;0</formula>
    </cfRule>
  </conditionalFormatting>
  <conditionalFormatting sqref="B3:M10 B15:M22 B27:M34">
    <cfRule type="endsWith" dxfId="16" priority="8" operator="endsWith" text="?">
      <formula>RIGHT((B3),LEN("?"))=("?")</formula>
    </cfRule>
  </conditionalFormatting>
  <conditionalFormatting sqref="B3:M10 B15:M22 B27:M34">
    <cfRule type="notContainsBlanks" dxfId="15" priority="9">
      <formula>LEN(TRIM(B3))&gt;0</formula>
    </cfRule>
  </conditionalFormatting>
  <conditionalFormatting sqref="B3:M10 B15:M22 B27:M34">
    <cfRule type="containsBlanks" dxfId="14" priority="10">
      <formula>LEN(TRIM(B3))=0</formula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G13"/>
  <sheetViews>
    <sheetView workbookViewId="0">
      <selection activeCell="S16" sqref="S16"/>
    </sheetView>
  </sheetViews>
  <sheetFormatPr baseColWidth="10" defaultColWidth="11.1640625" defaultRowHeight="15" customHeight="1"/>
  <cols>
    <col min="1" max="13" width="6.5" customWidth="1"/>
    <col min="14" max="30" width="6.1640625" customWidth="1"/>
    <col min="31" max="31" width="7.1640625" customWidth="1"/>
    <col min="32" max="32" width="7.33203125" customWidth="1"/>
    <col min="33" max="33" width="6.1640625" customWidth="1"/>
  </cols>
  <sheetData>
    <row r="1" spans="1:33">
      <c r="B1" s="29" t="s">
        <v>141</v>
      </c>
    </row>
    <row r="2" spans="1:33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</row>
    <row r="3" spans="1:33">
      <c r="A3" s="16" t="s">
        <v>14</v>
      </c>
      <c r="B3" s="18" t="s">
        <v>18</v>
      </c>
      <c r="C3" s="20" t="s">
        <v>17</v>
      </c>
      <c r="D3" s="21" t="s">
        <v>18</v>
      </c>
      <c r="E3" s="18" t="s">
        <v>18</v>
      </c>
      <c r="F3" s="18" t="s">
        <v>18</v>
      </c>
      <c r="G3" s="18" t="s">
        <v>17</v>
      </c>
      <c r="H3" s="18" t="s">
        <v>17</v>
      </c>
      <c r="I3" s="22"/>
      <c r="J3" s="22"/>
      <c r="K3" s="22"/>
      <c r="L3" s="22"/>
      <c r="M3" s="22"/>
      <c r="O3" s="23" t="s">
        <v>14</v>
      </c>
      <c r="P3" s="18">
        <v>34</v>
      </c>
      <c r="Q3" s="18" t="s">
        <v>37</v>
      </c>
      <c r="R3" s="18" t="s">
        <v>37</v>
      </c>
      <c r="S3" s="18">
        <v>196</v>
      </c>
      <c r="T3" s="18">
        <v>153</v>
      </c>
      <c r="U3" s="18" t="s">
        <v>37</v>
      </c>
      <c r="V3" s="18" t="s">
        <v>37</v>
      </c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20</v>
      </c>
      <c r="AE3" s="27">
        <f>COUNTIFS(P3:AA10,"&gt;0",P3:AA10,"&lt;51",B3:M10,"=i")</f>
        <v>8</v>
      </c>
      <c r="AF3" s="28">
        <f>COUNTIFS(P3:AA10,"&gt;0",P3:AA10,"&lt;51",B3:M10,"=s")</f>
        <v>10</v>
      </c>
      <c r="AG3" s="30">
        <f>COUNTIFS(P3:AA10,"&gt;0",P3:AA10,"&lt;51",B3:M10,"=g")</f>
        <v>0</v>
      </c>
    </row>
    <row r="4" spans="1:33">
      <c r="A4" s="16" t="s">
        <v>32</v>
      </c>
      <c r="B4" s="18" t="s">
        <v>17</v>
      </c>
      <c r="C4" s="18" t="s">
        <v>17</v>
      </c>
      <c r="D4" s="18" t="s">
        <v>17</v>
      </c>
      <c r="E4" s="18" t="s">
        <v>17</v>
      </c>
      <c r="F4" s="18" t="s">
        <v>17</v>
      </c>
      <c r="G4" s="18" t="s">
        <v>18</v>
      </c>
      <c r="H4" s="18" t="s">
        <v>17</v>
      </c>
      <c r="I4" s="22"/>
      <c r="J4" s="22"/>
      <c r="K4" s="22"/>
      <c r="L4" s="22"/>
      <c r="M4" s="22"/>
      <c r="O4" s="23" t="s">
        <v>32</v>
      </c>
      <c r="P4" s="18">
        <v>32</v>
      </c>
      <c r="Q4" s="80" t="s">
        <v>37</v>
      </c>
      <c r="R4" s="18">
        <v>54</v>
      </c>
      <c r="S4" s="18" t="s">
        <v>37</v>
      </c>
      <c r="T4" s="18" t="s">
        <v>37</v>
      </c>
      <c r="U4" s="18">
        <v>65</v>
      </c>
      <c r="V4" s="18">
        <v>59</v>
      </c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7</v>
      </c>
      <c r="AE4" s="27">
        <f>COUNTIFS(P4:AA11,"&gt;50",P4:AA11,"&lt;126",B4:M11,"=i")</f>
        <v>2</v>
      </c>
      <c r="AF4" s="28">
        <f>COUNTIFS(P4:AA11,"&gt;50",P4:AA11,"&lt;126",B4:M11,"=s")</f>
        <v>5</v>
      </c>
      <c r="AG4" s="30">
        <f>COUNTIFS(P4:AA11,"&gt;50",P4:AA11,"&lt;126",B4:M11,"=g")</f>
        <v>0</v>
      </c>
    </row>
    <row r="5" spans="1:33">
      <c r="A5" s="16" t="s">
        <v>34</v>
      </c>
      <c r="B5" s="18" t="s">
        <v>17</v>
      </c>
      <c r="C5" s="18" t="s">
        <v>17</v>
      </c>
      <c r="D5" s="18" t="s">
        <v>18</v>
      </c>
      <c r="E5" s="18" t="s">
        <v>17</v>
      </c>
      <c r="F5" s="18" t="s">
        <v>17</v>
      </c>
      <c r="G5" s="18" t="s">
        <v>18</v>
      </c>
      <c r="H5" s="18" t="s">
        <v>142</v>
      </c>
      <c r="I5" s="22"/>
      <c r="J5" s="22"/>
      <c r="K5" s="22"/>
      <c r="L5" s="22"/>
      <c r="M5" s="21" t="s">
        <v>143</v>
      </c>
      <c r="O5" s="23" t="s">
        <v>34</v>
      </c>
      <c r="P5" s="18" t="s">
        <v>37</v>
      </c>
      <c r="Q5" s="80" t="s">
        <v>37</v>
      </c>
      <c r="R5" s="18" t="s">
        <v>37</v>
      </c>
      <c r="S5" s="18" t="s">
        <v>37</v>
      </c>
      <c r="T5" s="18" t="s">
        <v>37</v>
      </c>
      <c r="U5" s="18">
        <v>45</v>
      </c>
      <c r="V5" s="18">
        <v>34</v>
      </c>
      <c r="W5" s="24"/>
      <c r="X5" s="24"/>
      <c r="Y5" s="24"/>
      <c r="Z5" s="24"/>
      <c r="AA5" s="18">
        <v>35</v>
      </c>
      <c r="AB5" s="10"/>
      <c r="AC5" s="25" t="s">
        <v>36</v>
      </c>
      <c r="AD5" s="31">
        <f>COUNTIFS(P3:AA10,"&gt;125",P3:AA10,"&lt;251")</f>
        <v>3</v>
      </c>
      <c r="AE5" s="27">
        <f>COUNTIFS(P5:AA12,"&gt;125",P5:AA12,"&lt;251",B5:M12,"=i")</f>
        <v>0</v>
      </c>
      <c r="AF5" s="28">
        <f>COUNTIFS(P5:AA12,"&gt;125",P5:AA12,"&lt;251",B5:M12,"=s")</f>
        <v>1</v>
      </c>
      <c r="AG5" s="30">
        <f>COUNTIFS(P5:AA12,"&gt;125",P5:AA12,"&lt;251",B5:M12,"=g")</f>
        <v>0</v>
      </c>
    </row>
    <row r="6" spans="1:33">
      <c r="A6" s="16" t="s">
        <v>38</v>
      </c>
      <c r="B6" s="18" t="s">
        <v>17</v>
      </c>
      <c r="C6" s="18" t="s">
        <v>18</v>
      </c>
      <c r="D6" s="18" t="s">
        <v>17</v>
      </c>
      <c r="E6" s="18" t="s">
        <v>18</v>
      </c>
      <c r="F6" s="18" t="s">
        <v>17</v>
      </c>
      <c r="G6" s="18" t="s">
        <v>18</v>
      </c>
      <c r="H6" s="21" t="s">
        <v>18</v>
      </c>
      <c r="I6" s="22"/>
      <c r="J6" s="22"/>
      <c r="K6" s="22"/>
      <c r="L6" s="22"/>
      <c r="M6" s="22"/>
      <c r="O6" s="23" t="s">
        <v>38</v>
      </c>
      <c r="P6" s="18">
        <v>35</v>
      </c>
      <c r="Q6" s="80" t="s">
        <v>37</v>
      </c>
      <c r="R6" s="18">
        <v>46</v>
      </c>
      <c r="S6" s="18">
        <v>45</v>
      </c>
      <c r="T6" s="18" t="s">
        <v>37</v>
      </c>
      <c r="U6" s="18">
        <v>57</v>
      </c>
      <c r="V6" s="18">
        <v>38</v>
      </c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0</v>
      </c>
      <c r="AE6" s="27">
        <f>COUNTIFS(P6:AA13,"&gt;250",P6:AA13,"&lt;501",B6:M13,"=i")</f>
        <v>0</v>
      </c>
      <c r="AF6" s="28">
        <f>COUNTIFS(P6:AA13,"&gt;250",P6:AA13,"&lt;501",B6:M13,"=s")</f>
        <v>0</v>
      </c>
      <c r="AG6" s="30">
        <f>COUNTIFS(P6:AA13,"&gt;250",P6:AA13,"&lt;501",B6:M13,"=g")</f>
        <v>0</v>
      </c>
    </row>
    <row r="7" spans="1:33">
      <c r="A7" s="16" t="s">
        <v>40</v>
      </c>
      <c r="B7" s="18" t="s">
        <v>17</v>
      </c>
      <c r="C7" s="21" t="s">
        <v>17</v>
      </c>
      <c r="D7" s="18" t="s">
        <v>18</v>
      </c>
      <c r="E7" s="18" t="s">
        <v>18</v>
      </c>
      <c r="F7" s="18" t="s">
        <v>18</v>
      </c>
      <c r="G7" s="21" t="s">
        <v>17</v>
      </c>
      <c r="H7" s="22"/>
      <c r="I7" s="22"/>
      <c r="J7" s="22"/>
      <c r="K7" s="22"/>
      <c r="L7" s="22"/>
      <c r="M7" s="22"/>
      <c r="O7" s="23" t="s">
        <v>40</v>
      </c>
      <c r="P7" s="18" t="s">
        <v>37</v>
      </c>
      <c r="Q7" s="80" t="s">
        <v>37</v>
      </c>
      <c r="R7" s="18">
        <v>39</v>
      </c>
      <c r="S7" s="18" t="s">
        <v>37</v>
      </c>
      <c r="T7" s="18">
        <v>35</v>
      </c>
      <c r="U7" s="18" t="s">
        <v>37</v>
      </c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COUNTIFS(P7:AA14,"&gt;500",B7:M14,"=i")</f>
        <v>0</v>
      </c>
      <c r="AF7" s="28">
        <f>COUNTIFS(P7:AA14,"&gt;500",B7:M14,"=s")</f>
        <v>0</v>
      </c>
      <c r="AG7" s="30">
        <f>COUNTIFS(P7:AA14,"&gt;500",B7:M14,"=g")</f>
        <v>0</v>
      </c>
    </row>
    <row r="8" spans="1:33">
      <c r="A8" s="16" t="s">
        <v>42</v>
      </c>
      <c r="B8" s="18" t="s">
        <v>17</v>
      </c>
      <c r="C8" s="21" t="s">
        <v>18</v>
      </c>
      <c r="D8" s="18" t="s">
        <v>18</v>
      </c>
      <c r="E8" s="18" t="s">
        <v>17</v>
      </c>
      <c r="F8" s="18" t="s">
        <v>17</v>
      </c>
      <c r="G8" s="21" t="s">
        <v>18</v>
      </c>
      <c r="H8" s="22"/>
      <c r="I8" s="22"/>
      <c r="J8" s="22"/>
      <c r="K8" s="22"/>
      <c r="L8" s="22"/>
      <c r="M8" s="22"/>
      <c r="O8" s="23" t="s">
        <v>42</v>
      </c>
      <c r="P8" s="18" t="s">
        <v>37</v>
      </c>
      <c r="Q8" s="18">
        <v>47</v>
      </c>
      <c r="R8" s="18">
        <v>60</v>
      </c>
      <c r="S8" s="18">
        <v>47</v>
      </c>
      <c r="T8" s="18">
        <v>28</v>
      </c>
      <c r="U8" s="18">
        <v>140</v>
      </c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</row>
    <row r="9" spans="1:33">
      <c r="A9" s="16" t="s">
        <v>43</v>
      </c>
      <c r="B9" s="18" t="s">
        <v>17</v>
      </c>
      <c r="C9" s="18" t="s">
        <v>18</v>
      </c>
      <c r="D9" s="18" t="s">
        <v>17</v>
      </c>
      <c r="E9" s="18" t="s">
        <v>17</v>
      </c>
      <c r="F9" s="18" t="s">
        <v>18</v>
      </c>
      <c r="G9" s="18" t="s">
        <v>18</v>
      </c>
      <c r="H9" s="22"/>
      <c r="I9" s="22"/>
      <c r="J9" s="22"/>
      <c r="K9" s="22"/>
      <c r="L9" s="22"/>
      <c r="M9" s="22"/>
      <c r="O9" s="23" t="s">
        <v>43</v>
      </c>
      <c r="P9" s="18">
        <v>45</v>
      </c>
      <c r="Q9" s="18">
        <v>39</v>
      </c>
      <c r="R9" s="18">
        <v>40</v>
      </c>
      <c r="S9" s="18">
        <v>38</v>
      </c>
      <c r="T9" s="18">
        <v>40</v>
      </c>
      <c r="U9" s="18">
        <v>35</v>
      </c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</row>
    <row r="10" spans="1:33">
      <c r="A10" s="16" t="s">
        <v>47</v>
      </c>
      <c r="B10" s="18" t="s">
        <v>18</v>
      </c>
      <c r="C10" s="18" t="s">
        <v>18</v>
      </c>
      <c r="D10" s="18" t="s">
        <v>18</v>
      </c>
      <c r="E10" s="18" t="s">
        <v>17</v>
      </c>
      <c r="F10" s="18" t="s">
        <v>18</v>
      </c>
      <c r="G10" s="18" t="s">
        <v>17</v>
      </c>
      <c r="H10" s="22"/>
      <c r="I10" s="22"/>
      <c r="J10" s="22"/>
      <c r="K10" s="22"/>
      <c r="L10" s="24"/>
      <c r="M10" s="24"/>
      <c r="O10" s="23" t="s">
        <v>47</v>
      </c>
      <c r="P10" s="18">
        <v>98</v>
      </c>
      <c r="Q10" s="18" t="s">
        <v>37</v>
      </c>
      <c r="R10" s="18" t="s">
        <v>37</v>
      </c>
      <c r="S10" s="18" t="s">
        <v>37</v>
      </c>
      <c r="T10" s="18">
        <v>64</v>
      </c>
      <c r="U10" s="18" t="s">
        <v>37</v>
      </c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</row>
    <row r="12" spans="1:33">
      <c r="Q12" s="29"/>
    </row>
    <row r="13" spans="1:33" ht="15" customHeight="1">
      <c r="A13" s="203" t="s">
        <v>705</v>
      </c>
    </row>
  </sheetData>
  <conditionalFormatting sqref="P3:AA10">
    <cfRule type="cellIs" dxfId="13" priority="1" operator="equal">
      <formula>"N"</formula>
    </cfRule>
  </conditionalFormatting>
  <conditionalFormatting sqref="P3:AA10">
    <cfRule type="cellIs" dxfId="12" priority="2" operator="equal">
      <formula>"?"</formula>
    </cfRule>
  </conditionalFormatting>
  <conditionalFormatting sqref="P3:AA10">
    <cfRule type="cellIs" dxfId="11" priority="3" operator="equal">
      <formula>"X"</formula>
    </cfRule>
  </conditionalFormatting>
  <conditionalFormatting sqref="P3:AA10">
    <cfRule type="cellIs" dxfId="10" priority="4" operator="equal">
      <formula>0</formula>
    </cfRule>
  </conditionalFormatting>
  <conditionalFormatting sqref="B3:M10">
    <cfRule type="endsWith" dxfId="9" priority="5" operator="endsWith" text="?">
      <formula>RIGHT((B3),LEN("?"))=("?")</formula>
    </cfRule>
  </conditionalFormatting>
  <conditionalFormatting sqref="B3:M10 P3:AA10">
    <cfRule type="notContainsBlanks" dxfId="8" priority="6">
      <formula>LEN(TRIM(B3))&gt;0</formula>
    </cfRule>
  </conditionalFormatting>
  <conditionalFormatting sqref="B3:M10">
    <cfRule type="containsBlanks" dxfId="7" priority="7">
      <formula>LEN(TRIM(B3))=0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A12"/>
  <sheetViews>
    <sheetView workbookViewId="0">
      <selection activeCell="K37" sqref="K37"/>
    </sheetView>
  </sheetViews>
  <sheetFormatPr baseColWidth="10" defaultColWidth="11.1640625" defaultRowHeight="15" customHeight="1"/>
  <cols>
    <col min="1" max="27" width="5.6640625" customWidth="1"/>
  </cols>
  <sheetData>
    <row r="1" spans="1:27">
      <c r="B1" s="81" t="s">
        <v>141</v>
      </c>
    </row>
    <row r="2" spans="1:27">
      <c r="A2" s="82" t="s">
        <v>3</v>
      </c>
      <c r="B2" s="5">
        <v>1</v>
      </c>
      <c r="C2" s="83">
        <v>2</v>
      </c>
      <c r="D2" s="5">
        <v>3</v>
      </c>
      <c r="E2" s="83">
        <v>4</v>
      </c>
      <c r="F2" s="5">
        <v>5</v>
      </c>
      <c r="G2" s="83">
        <v>6</v>
      </c>
      <c r="H2" s="5">
        <v>7</v>
      </c>
      <c r="I2" s="83">
        <v>8</v>
      </c>
      <c r="J2" s="5">
        <v>9</v>
      </c>
      <c r="K2" s="83">
        <v>10</v>
      </c>
      <c r="L2" s="5">
        <v>11</v>
      </c>
      <c r="M2" s="83">
        <v>12</v>
      </c>
      <c r="O2" s="82" t="s">
        <v>8</v>
      </c>
      <c r="P2" s="84">
        <v>1</v>
      </c>
      <c r="Q2" s="84">
        <v>2</v>
      </c>
      <c r="R2" s="84">
        <v>3</v>
      </c>
      <c r="S2" s="84">
        <v>4</v>
      </c>
      <c r="T2" s="84">
        <v>5</v>
      </c>
      <c r="U2" s="84">
        <v>6</v>
      </c>
      <c r="V2" s="84">
        <v>7</v>
      </c>
      <c r="W2" s="84">
        <v>8</v>
      </c>
      <c r="X2" s="84">
        <v>9</v>
      </c>
      <c r="Y2" s="84">
        <v>10</v>
      </c>
      <c r="Z2" s="84">
        <v>11</v>
      </c>
      <c r="AA2" s="84">
        <v>12</v>
      </c>
    </row>
    <row r="3" spans="1:27">
      <c r="A3" s="84" t="s">
        <v>14</v>
      </c>
      <c r="B3" s="85" t="s">
        <v>18</v>
      </c>
      <c r="C3" s="85" t="s">
        <v>17</v>
      </c>
      <c r="D3" s="85" t="s">
        <v>18</v>
      </c>
      <c r="E3" s="85" t="s">
        <v>18</v>
      </c>
      <c r="F3" s="85" t="s">
        <v>18</v>
      </c>
      <c r="G3" s="85" t="s">
        <v>17</v>
      </c>
      <c r="H3" s="85" t="s">
        <v>17</v>
      </c>
      <c r="I3" s="1"/>
      <c r="J3" s="1"/>
      <c r="K3" s="1"/>
      <c r="L3" s="1"/>
      <c r="M3" s="1"/>
      <c r="O3" s="84" t="s">
        <v>14</v>
      </c>
      <c r="P3" s="85">
        <v>34</v>
      </c>
      <c r="Q3" s="85" t="s">
        <v>69</v>
      </c>
      <c r="R3" s="85" t="s">
        <v>69</v>
      </c>
      <c r="S3" s="85">
        <v>196</v>
      </c>
      <c r="T3" s="85">
        <v>153</v>
      </c>
      <c r="U3" s="85" t="s">
        <v>69</v>
      </c>
      <c r="V3" s="85" t="s">
        <v>69</v>
      </c>
      <c r="W3" s="1"/>
      <c r="X3" s="1"/>
      <c r="Y3" s="1"/>
      <c r="Z3" s="1"/>
      <c r="AA3" s="1"/>
    </row>
    <row r="4" spans="1:27">
      <c r="A4" s="84" t="s">
        <v>32</v>
      </c>
      <c r="B4" s="85" t="s">
        <v>17</v>
      </c>
      <c r="C4" s="85" t="s">
        <v>17</v>
      </c>
      <c r="D4" s="85" t="s">
        <v>17</v>
      </c>
      <c r="E4" s="85" t="s">
        <v>17</v>
      </c>
      <c r="F4" s="85" t="s">
        <v>17</v>
      </c>
      <c r="G4" s="85" t="s">
        <v>18</v>
      </c>
      <c r="H4" s="85" t="s">
        <v>17</v>
      </c>
      <c r="I4" s="1"/>
      <c r="J4" s="1"/>
      <c r="K4" s="1"/>
      <c r="L4" s="1"/>
      <c r="M4" s="1"/>
      <c r="O4" s="84" t="s">
        <v>32</v>
      </c>
      <c r="P4" s="85">
        <v>32</v>
      </c>
      <c r="Q4" s="85" t="s">
        <v>69</v>
      </c>
      <c r="R4" s="85">
        <v>54</v>
      </c>
      <c r="S4" s="85" t="s">
        <v>69</v>
      </c>
      <c r="T4" s="86" t="s">
        <v>69</v>
      </c>
      <c r="U4" s="85">
        <v>65</v>
      </c>
      <c r="V4" s="85">
        <v>59</v>
      </c>
      <c r="W4" s="1"/>
      <c r="X4" s="1"/>
      <c r="Y4" s="1"/>
      <c r="Z4" s="1"/>
      <c r="AA4" s="1"/>
    </row>
    <row r="5" spans="1:27">
      <c r="A5" s="84" t="s">
        <v>34</v>
      </c>
      <c r="B5" s="85" t="s">
        <v>17</v>
      </c>
      <c r="C5" s="85" t="s">
        <v>17</v>
      </c>
      <c r="D5" s="85" t="s">
        <v>18</v>
      </c>
      <c r="E5" s="85" t="s">
        <v>17</v>
      </c>
      <c r="F5" s="85" t="s">
        <v>17</v>
      </c>
      <c r="G5" s="85" t="s">
        <v>18</v>
      </c>
      <c r="H5" s="85" t="s">
        <v>17</v>
      </c>
      <c r="I5" s="1"/>
      <c r="J5" s="1"/>
      <c r="K5" s="1"/>
      <c r="L5" s="1"/>
      <c r="M5" s="1"/>
      <c r="O5" s="84" t="s">
        <v>34</v>
      </c>
      <c r="P5" s="85" t="s">
        <v>69</v>
      </c>
      <c r="Q5" s="86" t="s">
        <v>69</v>
      </c>
      <c r="R5" s="85" t="s">
        <v>69</v>
      </c>
      <c r="S5" s="85" t="s">
        <v>69</v>
      </c>
      <c r="T5" s="85" t="s">
        <v>69</v>
      </c>
      <c r="U5" s="85">
        <v>45</v>
      </c>
      <c r="V5" s="85">
        <v>34</v>
      </c>
      <c r="W5" s="1"/>
      <c r="X5" s="1"/>
      <c r="Y5" s="1"/>
      <c r="Z5" s="1"/>
      <c r="AA5" s="85">
        <v>35</v>
      </c>
    </row>
    <row r="6" spans="1:27">
      <c r="A6" s="84" t="s">
        <v>38</v>
      </c>
      <c r="B6" s="85" t="s">
        <v>17</v>
      </c>
      <c r="C6" s="85" t="s">
        <v>18</v>
      </c>
      <c r="D6" s="85" t="s">
        <v>17</v>
      </c>
      <c r="E6" s="85" t="s">
        <v>18</v>
      </c>
      <c r="F6" s="85" t="s">
        <v>17</v>
      </c>
      <c r="G6" s="85" t="s">
        <v>18</v>
      </c>
      <c r="H6" s="85" t="s">
        <v>18</v>
      </c>
      <c r="I6" s="1"/>
      <c r="J6" s="1"/>
      <c r="K6" s="1"/>
      <c r="L6" s="1"/>
      <c r="M6" s="1"/>
      <c r="O6" s="84" t="s">
        <v>38</v>
      </c>
      <c r="P6" s="85">
        <v>35</v>
      </c>
      <c r="Q6" s="85" t="s">
        <v>69</v>
      </c>
      <c r="R6" s="85">
        <v>46</v>
      </c>
      <c r="S6" s="85">
        <v>45</v>
      </c>
      <c r="T6" s="85" t="s">
        <v>69</v>
      </c>
      <c r="U6" s="85">
        <v>57</v>
      </c>
      <c r="V6" s="85">
        <v>38</v>
      </c>
      <c r="W6" s="1"/>
      <c r="X6" s="1"/>
      <c r="Y6" s="1"/>
      <c r="Z6" s="1"/>
      <c r="AA6" s="1"/>
    </row>
    <row r="7" spans="1:27">
      <c r="A7" s="84" t="s">
        <v>40</v>
      </c>
      <c r="B7" s="85" t="s">
        <v>17</v>
      </c>
      <c r="C7" s="85" t="s">
        <v>17</v>
      </c>
      <c r="D7" s="85" t="s">
        <v>18</v>
      </c>
      <c r="E7" s="85" t="s">
        <v>18</v>
      </c>
      <c r="F7" s="85" t="s">
        <v>18</v>
      </c>
      <c r="G7" s="85" t="s">
        <v>17</v>
      </c>
      <c r="H7" s="1"/>
      <c r="I7" s="1"/>
      <c r="J7" s="1"/>
      <c r="K7" s="1"/>
      <c r="L7" s="1"/>
      <c r="M7" s="1"/>
      <c r="O7" s="84" t="s">
        <v>40</v>
      </c>
      <c r="P7" s="85" t="s">
        <v>69</v>
      </c>
      <c r="Q7" s="85" t="s">
        <v>69</v>
      </c>
      <c r="R7" s="85">
        <v>39</v>
      </c>
      <c r="S7" s="85" t="s">
        <v>69</v>
      </c>
      <c r="T7" s="85">
        <v>35</v>
      </c>
      <c r="U7" s="85" t="s">
        <v>69</v>
      </c>
      <c r="V7" s="1"/>
      <c r="W7" s="1"/>
      <c r="X7" s="1"/>
      <c r="Y7" s="1"/>
      <c r="Z7" s="1"/>
      <c r="AA7" s="1"/>
    </row>
    <row r="8" spans="1:27">
      <c r="A8" s="84" t="s">
        <v>42</v>
      </c>
      <c r="B8" s="85" t="s">
        <v>17</v>
      </c>
      <c r="C8" s="85" t="s">
        <v>18</v>
      </c>
      <c r="D8" s="85" t="s">
        <v>18</v>
      </c>
      <c r="E8" s="85" t="s">
        <v>17</v>
      </c>
      <c r="F8" s="85" t="s">
        <v>17</v>
      </c>
      <c r="G8" s="85" t="s">
        <v>18</v>
      </c>
      <c r="H8" s="1"/>
      <c r="I8" s="1"/>
      <c r="J8" s="1"/>
      <c r="K8" s="1"/>
      <c r="L8" s="1"/>
      <c r="M8" s="1"/>
      <c r="O8" s="84" t="s">
        <v>42</v>
      </c>
      <c r="P8" s="85" t="s">
        <v>69</v>
      </c>
      <c r="Q8" s="85">
        <v>47</v>
      </c>
      <c r="R8" s="85">
        <v>60</v>
      </c>
      <c r="S8" s="85">
        <v>47</v>
      </c>
      <c r="T8" s="85">
        <v>28</v>
      </c>
      <c r="U8" s="85">
        <v>140</v>
      </c>
      <c r="V8" s="1"/>
      <c r="W8" s="1"/>
      <c r="X8" s="1"/>
      <c r="Y8" s="1"/>
      <c r="Z8" s="1"/>
      <c r="AA8" s="1"/>
    </row>
    <row r="9" spans="1:27">
      <c r="A9" s="84" t="s">
        <v>43</v>
      </c>
      <c r="B9" s="85" t="s">
        <v>17</v>
      </c>
      <c r="C9" s="85" t="s">
        <v>18</v>
      </c>
      <c r="D9" s="85" t="s">
        <v>17</v>
      </c>
      <c r="E9" s="85" t="s">
        <v>17</v>
      </c>
      <c r="F9" s="85" t="s">
        <v>18</v>
      </c>
      <c r="G9" s="85" t="s">
        <v>18</v>
      </c>
      <c r="H9" s="1"/>
      <c r="I9" s="1"/>
      <c r="J9" s="1"/>
      <c r="K9" s="1"/>
      <c r="L9" s="1"/>
      <c r="M9" s="1"/>
      <c r="O9" s="84" t="s">
        <v>43</v>
      </c>
      <c r="P9" s="85">
        <v>45</v>
      </c>
      <c r="Q9" s="85">
        <v>39</v>
      </c>
      <c r="R9" s="85">
        <v>40</v>
      </c>
      <c r="S9" s="85">
        <v>38</v>
      </c>
      <c r="T9" s="85">
        <v>40</v>
      </c>
      <c r="U9" s="85">
        <v>35</v>
      </c>
      <c r="V9" s="1"/>
      <c r="W9" s="1"/>
      <c r="X9" s="1"/>
      <c r="Y9" s="1"/>
      <c r="Z9" s="1"/>
      <c r="AA9" s="1"/>
    </row>
    <row r="10" spans="1:27">
      <c r="A10" s="84" t="s">
        <v>47</v>
      </c>
      <c r="B10" s="85" t="s">
        <v>18</v>
      </c>
      <c r="C10" s="85" t="s">
        <v>18</v>
      </c>
      <c r="D10" s="85" t="s">
        <v>18</v>
      </c>
      <c r="E10" s="85" t="s">
        <v>17</v>
      </c>
      <c r="F10" s="85" t="s">
        <v>18</v>
      </c>
      <c r="G10" s="85" t="s">
        <v>17</v>
      </c>
      <c r="H10" s="1"/>
      <c r="I10" s="1"/>
      <c r="J10" s="1"/>
      <c r="K10" s="1"/>
      <c r="L10" s="1"/>
      <c r="M10" s="1"/>
      <c r="O10" s="84" t="s">
        <v>47</v>
      </c>
      <c r="P10" s="85">
        <v>98</v>
      </c>
      <c r="Q10" s="85" t="s">
        <v>69</v>
      </c>
      <c r="R10" s="85" t="s">
        <v>69</v>
      </c>
      <c r="S10" s="85" t="s">
        <v>69</v>
      </c>
      <c r="T10" s="85">
        <v>64</v>
      </c>
      <c r="U10" s="85" t="s">
        <v>69</v>
      </c>
      <c r="V10" s="1"/>
      <c r="W10" s="1"/>
      <c r="X10" s="1"/>
      <c r="Y10" s="1"/>
      <c r="Z10" s="1"/>
      <c r="AA10" s="1"/>
    </row>
    <row r="12" spans="1:27">
      <c r="Q12" s="29" t="s">
        <v>49</v>
      </c>
    </row>
  </sheetData>
  <conditionalFormatting sqref="P3:AA10">
    <cfRule type="cellIs" dxfId="6" priority="1" operator="equal">
      <formula>"N"</formula>
    </cfRule>
  </conditionalFormatting>
  <conditionalFormatting sqref="P3:AA10">
    <cfRule type="cellIs" dxfId="5" priority="2" operator="equal">
      <formula>"?"</formula>
    </cfRule>
  </conditionalFormatting>
  <conditionalFormatting sqref="P3:AA10">
    <cfRule type="cellIs" dxfId="4" priority="3" operator="equal">
      <formula>"X"</formula>
    </cfRule>
  </conditionalFormatting>
  <conditionalFormatting sqref="P3:AA10">
    <cfRule type="cellIs" dxfId="3" priority="4" operator="equal">
      <formula>0</formula>
    </cfRule>
  </conditionalFormatting>
  <conditionalFormatting sqref="B3:M10 P3:AA10">
    <cfRule type="endsWith" dxfId="2" priority="5" operator="endsWith" text="?">
      <formula>RIGHT((B3),LEN("?"))=("?")</formula>
    </cfRule>
  </conditionalFormatting>
  <conditionalFormatting sqref="B3:M10 P3:AA10">
    <cfRule type="notContainsBlanks" dxfId="1" priority="6">
      <formula>LEN(TRIM(B3))&gt;0</formula>
    </cfRule>
  </conditionalFormatting>
  <conditionalFormatting sqref="B3:M10 P3:AA10">
    <cfRule type="containsBlanks" dxfId="0" priority="7">
      <formula>LEN(TRIM(B3))=0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F1000"/>
  <sheetViews>
    <sheetView workbookViewId="0"/>
  </sheetViews>
  <sheetFormatPr baseColWidth="10" defaultColWidth="11.1640625" defaultRowHeight="15" customHeight="1"/>
  <cols>
    <col min="5" max="5" width="13.1640625" customWidth="1"/>
  </cols>
  <sheetData>
    <row r="1" spans="1:32">
      <c r="A1" s="171"/>
      <c r="C1" s="171"/>
      <c r="D1" s="171"/>
      <c r="E1" s="171"/>
      <c r="G1" s="171"/>
      <c r="H1" s="171"/>
      <c r="I1" s="171"/>
      <c r="K1" s="171"/>
      <c r="L1" s="171"/>
      <c r="M1" s="171"/>
      <c r="O1" s="171"/>
      <c r="P1" s="171"/>
      <c r="Q1" s="171"/>
      <c r="S1" s="171"/>
      <c r="T1" s="171"/>
      <c r="U1" s="171"/>
      <c r="W1" s="171"/>
      <c r="X1" s="171"/>
      <c r="Y1" s="171"/>
      <c r="AA1" s="171"/>
      <c r="AB1" s="171"/>
      <c r="AC1" s="171"/>
      <c r="AD1" s="172" t="s">
        <v>648</v>
      </c>
      <c r="AE1" s="171"/>
      <c r="AF1" s="171"/>
    </row>
    <row r="2" spans="1:32">
      <c r="A2" s="172" t="s">
        <v>649</v>
      </c>
      <c r="B2" s="172" t="s">
        <v>650</v>
      </c>
      <c r="C2" s="172" t="s">
        <v>651</v>
      </c>
      <c r="D2" s="171"/>
      <c r="E2" s="171" t="s">
        <v>649</v>
      </c>
      <c r="F2" s="171" t="s">
        <v>650</v>
      </c>
      <c r="G2" s="171" t="s">
        <v>652</v>
      </c>
      <c r="H2" s="171"/>
      <c r="I2" s="171" t="s">
        <v>649</v>
      </c>
      <c r="J2" s="171" t="s">
        <v>650</v>
      </c>
      <c r="K2" s="171" t="s">
        <v>653</v>
      </c>
      <c r="L2" s="171"/>
      <c r="M2" s="171" t="s">
        <v>649</v>
      </c>
      <c r="N2" s="171" t="s">
        <v>650</v>
      </c>
      <c r="O2" s="171" t="s">
        <v>654</v>
      </c>
      <c r="P2" s="171"/>
      <c r="Q2" s="171" t="s">
        <v>649</v>
      </c>
      <c r="R2" s="171" t="s">
        <v>650</v>
      </c>
      <c r="S2" s="171" t="s">
        <v>655</v>
      </c>
      <c r="T2" s="171"/>
      <c r="U2" s="171" t="s">
        <v>649</v>
      </c>
      <c r="V2" s="171" t="s">
        <v>650</v>
      </c>
      <c r="W2" s="171" t="s">
        <v>656</v>
      </c>
      <c r="X2" s="171"/>
      <c r="Y2" s="171" t="s">
        <v>649</v>
      </c>
      <c r="Z2" s="171" t="s">
        <v>650</v>
      </c>
      <c r="AA2" s="171" t="s">
        <v>657</v>
      </c>
      <c r="AB2" s="171"/>
      <c r="AC2" s="171" t="s">
        <v>649</v>
      </c>
      <c r="AD2" s="171" t="s">
        <v>650</v>
      </c>
      <c r="AE2" s="171"/>
      <c r="AF2" s="171"/>
    </row>
    <row r="3" spans="1:32">
      <c r="A3" s="173">
        <v>0</v>
      </c>
      <c r="B3" s="173">
        <v>20</v>
      </c>
      <c r="C3" s="174">
        <f>COUNTIFS('Null-1a (Crack) 2000-500'!$P$3:$AA$10,"&gt;" &amp; A3,'Null-1a (Crack) 2000-500'!$P$3:$AA$10,"&lt;=" &amp; B3)+COUNTIFS('Null-1a (Crack) 500-250'!$P$3:$AA$10,"&gt;" &amp; A3,'Null-1a (Crack) 500-250'!$P$3:$AA$10,"&lt;=" &amp; B3)+COUNTIFS('Null-1a (Crack) 500-250'!$P$15:$AA$22,"&gt;" &amp; A3,'Null-1a (Crack) 500-250'!$P$15:$AA$22,"&lt;=" &amp; B3)+COUNTIFS('Null-1a (Crack) 250-125'!$P$3:AA$10,"&gt;" &amp; A3,'Null-1a (Crack) 250-125'!$P$3:$AA$10,"&lt;=" &amp; B3)</f>
        <v>3</v>
      </c>
      <c r="D3" s="175"/>
      <c r="E3" s="176">
        <v>0</v>
      </c>
      <c r="F3" s="176">
        <v>20</v>
      </c>
      <c r="G3" s="177" t="e">
        <f>COUNTIFS(#REF!,"&gt;" &amp; E3,#REF!,"&lt;=" &amp; F3)+COUNTIFS('Null-1b (Bowl) 500-250'!$P$3:$AA$10,"&gt;" &amp; E3,'Null-1b (Bowl) 500-250'!$P$3:$AA$10,"&lt;=" &amp; F3)+COUNTIFS('Null-1b (Bowl) 500-250'!$P$15:$AA$22,"&gt;" &amp; E3,'Null-1b (Bowl) 500-250'!$P$15:$AA$22,"&lt;=" &amp; F3)+COUNTIFS('Null-1b (Bowl) 500-250'!$P$27:$AA$34,"&gt;" &amp; E3,'Null-1b (Bowl) 500-250'!$P$27:$AA$34,"&lt;=" &amp; F3)+COUNTIFS('Null-1b (Bowl) 250-125'!$P$3:$AA$10,"&gt;" &amp; E3,'Null-1b (Bowl) 250-125'!$P$3:$AA$10,"&lt;=" &amp; F3)+COUNTIFS('Null-1b (Bowl) 250-125'!$P$14:$AA$21,"&gt;" &amp; E3,'Null-1b (Bowl) 250-125'!$P$14:$AA$21,"&lt;=" &amp; F3)+COUNTIFS('Null-1b (Bowl) 250-125'!$P$25:$AA$32,"&gt;" &amp; E3,'Null-1b (Bowl) 250-125'!$P$25:$AA$32,"&lt;=" &amp; F3)+COUNTIFS('Null-1b (Bowl) 250-125'!$P$36:$AA$43,"&gt;" &amp; E3,'Null-1b (Bowl) 250-125'!$P$36:$AA$43,"&lt;=" &amp; F3)</f>
        <v>#REF!</v>
      </c>
      <c r="H3" s="175"/>
      <c r="I3" s="178">
        <v>0</v>
      </c>
      <c r="J3" s="178">
        <v>20</v>
      </c>
      <c r="K3" s="179">
        <f>COUNTIFS('Null-1c (Control) 2000-250'!$P$3:$AA$10,"&gt;" &amp; I3,'Null-1c (Control) 2000-250'!$P$3:$AA$10,"&lt;=" &amp; J3)+COUNTIFS('Null-1c (Control) 250-125'!$P$3:$AA$10,"&gt;" &amp; I3,'Null-1c (Control) 250-125'!$P$3:$AA$10,"&lt;=" &amp; J3)+COUNTIFS('Null-1c (Control) 250-125'!$P$3:$AA$10,"&gt;" &amp; I3,'Null-1c (Control) 250-125'!$P$3:$AA$10,"&lt;=" &amp; J3)</f>
        <v>2</v>
      </c>
      <c r="L3" s="180"/>
      <c r="M3" s="181">
        <v>0</v>
      </c>
      <c r="N3" s="176">
        <v>20</v>
      </c>
      <c r="O3" s="177">
        <f>COUNTIFS('Null-3 2000-500'!$P$3:$AA$10,"&gt;" &amp; M3,'Null-3 2000-500'!$P$3:$AA$10,"&lt;=" &amp; N3)+COUNTIFS('Null-3 500-250'!$P$3:$AA$10,"&gt;" &amp; M3,'Null-3 500-250'!$P$3:$AA$10,"&lt;=" &amp; N3)+COUNTIFS('Null-3 500-250'!$P$14:$AA$21,"&gt;" &amp; M3,'Null-3 500-250'!$P$14:$AA$21,"&lt;=" &amp; N3)+COUNTIFS('Null-3 500-250'!$P$25:$AA$32,"&gt;" &amp; M3,'Null-3 500-250'!$P$25:$AA$32,"&lt;=" &amp; N3)+COUNTIFS('Null-3 500-250'!$P$36:$AA$43,"&gt;" &amp; M3,'Null-3 500-250'!$P$36:$AA$43,"&lt;=" &amp; N3)+COUNTIFS('Null-3 500-250'!$P$47:$AA$54,"&gt;" &amp; M3,'Null-3 500-250'!$P$47:$AA$54,"&lt;=" &amp; N3)+COUNTIFS('Null-3 500-250'!$P$59:$AA$66,"&gt;" &amp; M3,'Null-3 500-250'!$P$59:$AA$66,"&lt;=" &amp; N3)+COUNTIFS('Null-3 125-250'!$P$3:$AA$10,"&gt;" &amp; M3,'Null-3 125-250'!$P$3:$AA$10,"&lt;=" &amp; N3)+COUNTIFS('Null-3 125-250'!$P$15:$AA$22,"&gt;" &amp; M3,'Null-3 125-250'!$P$15:$AA$22,"&lt;=" &amp; N3)+COUNTIFS('Null-3 125-250'!$P$27:$AA$34,"&gt;" &amp; M3,'Null-3 125-250'!$P$27:$AA$34,"&lt;=" &amp; N3)</f>
        <v>9</v>
      </c>
      <c r="P3" s="175"/>
      <c r="Q3" s="176">
        <v>0</v>
      </c>
      <c r="R3" s="176">
        <v>20</v>
      </c>
      <c r="S3" s="177">
        <f>COUNTIFS('Null-6 2000-500'!$P$3:$AA$10,"&gt;" &amp; Q3,'Null-6 2000-500'!$P$3:$AA$10,"&lt;=" &amp; R3)+COUNTIFS('Null-6 2000-500'!$P$15:$AA$22,"&gt;" &amp; Q3,'Null-6 2000-500'!$P$15:$AA$22,"&lt;=" &amp; R3)+COUNTIFS('Null-6 500-250'!$P$3:$AA$10,"&gt;" &amp; Q3,'Null-6 500-250'!$P$3:$AA$10,"&lt;=" &amp; R3)+COUNTIFS('Null-6 500-250'!$P$15:$AA$22,"&gt;" &amp; Q3,'Null-6 500-250'!$P$15:$AA$22,"&lt;=" &amp; R3)+COUNTIFS('Null-6 250-125'!$P$3:$AA$10,"&gt;" &amp; Q3,'Null-6 250-125'!$P$3:$AA$10,"&lt;=" &amp; R3)+COUNTIFS('Null-6 250-125'!$P$16:$AA$23,"&gt;" &amp; Q3,'Null-6 250-125'!$P$16:$AA$23,"&lt;=" &amp; R3)+COUNTIFS('Null-6 250-125'!$P$29:$AA$36,"&gt;" &amp; Q3,'Null-6 250-125'!$P$29:$AA$36,"&lt;=" &amp; R3)</f>
        <v>7</v>
      </c>
      <c r="T3" s="175"/>
      <c r="U3" s="176">
        <v>0</v>
      </c>
      <c r="V3" s="176">
        <v>20</v>
      </c>
      <c r="W3" s="177">
        <f>COUNTIFS('Null-10'!$P$3:$AA$10,"&gt;" &amp; U3,'Null-10'!$P$3:$AA$10,"&lt;=" &amp; V3)+COUNTIFS('Null-10'!$P$16:$AA$23,"&gt;" &amp; U3,'Null-10'!$P$16:$AA$23,"&lt;=" &amp; V3)+COUNTIFS('Null-10'!$P$27:$AA$34,"&gt;" &amp; U3,'Null-10'!$P$27:$AA$34,"&lt;=" &amp; V3)+COUNTIFS('Null-10'!$P$38:$AA$45,"&gt;" &amp; U3,'Null-10'!$P$38:$AA$45,"&lt;=" &amp; V3)+COUNTIFS('Null-10'!$P$49:$AA$56,"&gt;" &amp; U3,'Null-10'!$P$49:$AA$56,"&lt;=" &amp; V3)+COUNTIFS('Null-10'!$P$60:$AA$67,"&gt;" &amp; U3,'Null-10'!$P$60:$AA$67,"&lt;=" &amp; V3)+COUNTIFS('Null-10'!$P$71:$AA$78,"&gt;" &amp; U3,'Null-10'!$P$71:$AA$78,"&lt;=" &amp; V3)+COUNTIFS('Null-10'!$P$83:$AA$90,"&gt;" &amp; U3,'Null-10'!$P$83:$AA$90,"&lt;=" &amp; V3)+COUNTIFS('Null-10'!$P$94:$AA$101,"&gt;" &amp; U3,'Null-10'!$P$94:$AA$101,"&lt;=" &amp; V3)</f>
        <v>2</v>
      </c>
      <c r="X3" s="175"/>
      <c r="Y3" s="176">
        <v>0</v>
      </c>
      <c r="Z3" s="176">
        <v>20</v>
      </c>
      <c r="AA3" s="177">
        <f>COUNTIFS('Null-12 2000-500'!$P$3:$AA$10,"&gt;" &amp; Y3,'Null-12 2000-500'!$P$3:$AA$10,"&lt;=" &amp; Z3)+COUNTIFS('Null-12 500-250'!$P$15:$AA$22,"&gt;" &amp;Y3,'Null-12 500-250'!$P$15:$AA$22,"&lt;=" &amp; Z3)+COUNTIFS('Null-12 500-250'!$P$27:$AA$34,"&gt;" &amp; Y3,'Null-12 500-250'!$P$27:$AA$34,"&lt;=" &amp; Z3)+COUNTIFS('Null-12 500-250'!$P$3:$AA$10,"&gt;" &amp; Y3,'Null-12 500-250'!$P$3:$AA$10,"&lt;=" &amp; Z3)+COUNTIFS('EXP 12 250-125 redo'!$P$3:$AA$10,"&gt;" &amp; Y3,'EXP 12 250-125 redo'!$P$3:$AA$10,"&lt;=" &amp; Z3)</f>
        <v>0</v>
      </c>
      <c r="AB3" s="175"/>
      <c r="AC3" s="176">
        <v>0</v>
      </c>
      <c r="AD3" s="176">
        <v>20</v>
      </c>
      <c r="AE3" s="177" t="e">
        <f t="shared" ref="AE3:AE32" si="0">SUM(AA3,W3,S3,O3,K3,G3,C3)</f>
        <v>#REF!</v>
      </c>
      <c r="AF3" s="182" t="s">
        <v>658</v>
      </c>
    </row>
    <row r="4" spans="1:32">
      <c r="A4" s="173">
        <v>20</v>
      </c>
      <c r="B4" s="173">
        <v>40</v>
      </c>
      <c r="C4" s="174">
        <f>COUNTIFS('Null-1a (Crack) 2000-500'!$P$3:$AA$10,"&gt;" &amp; A4,'Null-1a (Crack) 2000-500'!$P$3:$AA$10,"&lt;=" &amp; B4)+COUNTIFS('Null-1a (Crack) 500-250'!$P$3:$AA$10,"&gt;" &amp; A4,'Null-1a (Crack) 500-250'!$P$3:$AA$10,"&lt;=" &amp; B4)+COUNTIFS('Null-1a (Crack) 500-250'!$P$15:$AA$22,"&gt;" &amp; A4,'Null-1a (Crack) 500-250'!$P$15:$AA$22,"&lt;=" &amp; B4)+COUNTIFS('Null-1a (Crack) 250-125'!$P$3:AA$10,"&gt;" &amp; A4,'Null-1a (Crack) 250-125'!$P$3:$AA$10,"&lt;=" &amp; B4)</f>
        <v>26</v>
      </c>
      <c r="D4" s="175"/>
      <c r="E4" s="176">
        <v>20</v>
      </c>
      <c r="F4" s="176">
        <v>40</v>
      </c>
      <c r="G4" s="177" t="e">
        <f>COUNTIFS(#REF!,"&gt;" &amp; E4,#REF!,"&lt;=" &amp; F4)+COUNTIFS('Null-1b (Bowl) 500-250'!$P$3:$AA$10,"&gt;" &amp; E4,'Null-1b (Bowl) 500-250'!$P$3:$AA$10,"&lt;=" &amp; F4)+COUNTIFS('Null-1b (Bowl) 500-250'!$P$15:$AA$22,"&gt;" &amp; E4,'Null-1b (Bowl) 500-250'!$P$15:$AA$22,"&lt;=" &amp; F4)+COUNTIFS('Null-1b (Bowl) 500-250'!$P$27:$AA$34,"&gt;" &amp; E4,'Null-1b (Bowl) 500-250'!$P$27:$AA$34,"&lt;=" &amp; F4)+COUNTIFS('Null-1b (Bowl) 250-125'!$P$3:$AA$10,"&gt;" &amp; E4,'Null-1b (Bowl) 250-125'!$P$3:$AA$10,"&lt;=" &amp; F4)+COUNTIFS('Null-1b (Bowl) 250-125'!$P$14:$AA$21,"&gt;" &amp; E4,'Null-1b (Bowl) 250-125'!$P$14:$AA$21,"&lt;=" &amp; F4)+COUNTIFS('Null-1b (Bowl) 250-125'!$P$25:$AA$32,"&gt;" &amp; E4,'Null-1b (Bowl) 250-125'!$P$25:$AA$32,"&lt;=" &amp; F4)+COUNTIFS('Null-1b (Bowl) 250-125'!$P$36:$AA$43,"&gt;" &amp; E4,'Null-1b (Bowl) 250-125'!$P$36:$AA$43,"&lt;=" &amp; F4)</f>
        <v>#REF!</v>
      </c>
      <c r="H4" s="175"/>
      <c r="I4" s="178">
        <v>20</v>
      </c>
      <c r="J4" s="178">
        <v>40</v>
      </c>
      <c r="K4" s="179">
        <f>COUNTIFS('Null-1c (Control) 2000-250'!$P$3:$AA$10,"&gt;" &amp; I4,'Null-1c (Control) 2000-250'!$P$3:$AA$10,"&lt;=" &amp; J4)+COUNTIFS('Null-1c (Control) 250-125'!$P$3:$AA$10,"&gt;" &amp; I4,'Null-1c (Control) 250-125'!$P$3:$AA$10,"&lt;=" &amp; J4)+COUNTIFS('Null-1c (Control) 250-125'!$P$3:$AA$10,"&gt;" &amp; I4,'Null-1c (Control) 250-125'!$P$3:$AA$10,"&lt;=" &amp; J4)</f>
        <v>35</v>
      </c>
      <c r="L4" s="183"/>
      <c r="M4" s="178">
        <v>20</v>
      </c>
      <c r="N4" s="176">
        <v>40</v>
      </c>
      <c r="O4" s="177">
        <f>COUNTIFS('Null-3 2000-500'!$P$3:$AA$10,"&gt;" &amp; M4,'Null-3 2000-500'!$P$3:$AA$10,"&lt;=" &amp; N4)+COUNTIFS('Null-3 500-250'!$P$3:$AA$10,"&gt;" &amp; M4,'Null-3 500-250'!$P$3:$AA$10,"&lt;=" &amp; N4)+COUNTIFS('Null-3 500-250'!$P$14:$AA$21,"&gt;" &amp; M4,'Null-3 500-250'!$P$14:$AA$21,"&lt;=" &amp; N4)+COUNTIFS('Null-3 500-250'!$P$25:$AA$32,"&gt;" &amp; M4,'Null-3 500-250'!$P$25:$AA$32,"&lt;=" &amp; N4)+COUNTIFS('Null-3 500-250'!$P$36:$AA$43,"&gt;" &amp; M4,'Null-3 500-250'!$P$36:$AA$43,"&lt;=" &amp; N4)+COUNTIFS('Null-3 500-250'!$P$47:$AA$54,"&gt;" &amp; M4,'Null-3 500-250'!$P$47:$AA$54,"&lt;=" &amp; N4)+COUNTIFS('Null-3 500-250'!$P$59:$AA$66,"&gt;" &amp; M4,'Null-3 500-250'!$P$59:$AA$66,"&lt;=" &amp; N4)+COUNTIFS('Null-3 125-250'!$P$3:$AA$10,"&gt;" &amp; M4,'Null-3 125-250'!$P$3:$AA$10,"&lt;=" &amp; N4)+COUNTIFS('Null-3 125-250'!$P$15:$AA$22,"&gt;" &amp; M4,'Null-3 125-250'!$P$15:$AA$22,"&lt;=" &amp; N4)+COUNTIFS('Null-3 125-250'!$P$27:$AA$34,"&gt;" &amp; M4,'Null-3 125-250'!$P$27:$AA$34,"&lt;=" &amp; N4)</f>
        <v>64</v>
      </c>
      <c r="P4" s="175"/>
      <c r="Q4" s="176">
        <v>20</v>
      </c>
      <c r="R4" s="176">
        <v>40</v>
      </c>
      <c r="S4" s="177">
        <f>COUNTIFS('Null-6 2000-500'!$P$3:$AA$10,"&gt;" &amp; Q4,'Null-6 2000-500'!$P$3:$AA$10,"&lt;=" &amp; R4)+COUNTIFS('Null-6 2000-500'!$P$15:$AA$22,"&gt;" &amp; Q4,'Null-6 2000-500'!$P$15:$AA$22,"&lt;=" &amp; R4)+COUNTIFS('Null-6 500-250'!$P$3:$AA$10,"&gt;" &amp; Q4,'Null-6 500-250'!$P$3:$AA$10,"&lt;=" &amp; R4)+COUNTIFS('Null-6 500-250'!$P$15:$AA$22,"&gt;" &amp; Q4,'Null-6 500-250'!$P$15:$AA$22,"&lt;=" &amp; R4)+COUNTIFS('Null-6 250-125'!$P$3:$AA$10,"&gt;" &amp; Q4,'Null-6 250-125'!$P$3:$AA$10,"&lt;=" &amp; R4)+COUNTIFS('Null-6 250-125'!$P$16:$AA$23,"&gt;" &amp; Q4,'Null-6 250-125'!$P$16:$AA$23,"&lt;=" &amp; R4)+COUNTIFS('Null-6 250-125'!$P$29:$AA$36,"&gt;" &amp; Q4,'Null-6 250-125'!$P$29:$AA$36,"&lt;=" &amp; R4)</f>
        <v>95</v>
      </c>
      <c r="T4" s="175"/>
      <c r="U4" s="176">
        <v>20</v>
      </c>
      <c r="V4" s="176">
        <v>40</v>
      </c>
      <c r="W4" s="177">
        <f>COUNTIFS('Null-10'!$P$3:$AA$10,"&gt;" &amp; U4,'Null-10'!$P$3:$AA$10,"&lt;=" &amp; V4)+COUNTIFS('Null-10'!$P$16:$AA$23,"&gt;" &amp; U4,'Null-10'!$P$16:$AA$23,"&lt;=" &amp; V4)+COUNTIFS('Null-10'!$P$27:$AA$34,"&gt;" &amp; U4,'Null-10'!$P$27:$AA$34,"&lt;=" &amp; V4)+COUNTIFS('Null-10'!$P$38:$AA$45,"&gt;" &amp; U4,'Null-10'!$P$38:$AA$45,"&lt;=" &amp; V4)+COUNTIFS('Null-10'!$P$49:$AA$56,"&gt;" &amp; U4,'Null-10'!$P$49:$AA$56,"&lt;=" &amp; V4)+COUNTIFS('Null-10'!$P$60:$AA$67,"&gt;" &amp; U4,'Null-10'!$P$60:$AA$67,"&lt;=" &amp; V4)+COUNTIFS('Null-10'!$P$71:$AA$78,"&gt;" &amp; U4,'Null-10'!$P$71:$AA$78,"&lt;=" &amp; V4)+COUNTIFS('Null-10'!$P$83:$AA$90,"&gt;" &amp; U4,'Null-10'!$P$83:$AA$90,"&lt;=" &amp; V4)+COUNTIFS('Null-10'!$P$94:$AA$101,"&gt;" &amp; U4,'Null-10'!$P$94:$AA$101,"&lt;=" &amp; V4)</f>
        <v>2</v>
      </c>
      <c r="X4" s="175"/>
      <c r="Y4" s="176">
        <v>20</v>
      </c>
      <c r="Z4" s="176">
        <v>40</v>
      </c>
      <c r="AA4" s="177">
        <f>COUNTIFS('Null-12 2000-500'!$P$3:$AA$10,"&gt;" &amp; Y4,'Null-12 2000-500'!$P$3:$AA$10,"&lt;=" &amp; Z4)+COUNTIFS('Null-12 500-250'!$P$15:$AA$22,"&gt;" &amp;Y4,'Null-12 500-250'!$P$15:$AA$22,"&lt;=" &amp; Z4)+COUNTIFS('Null-12 500-250'!$P$27:$AA$34,"&gt;" &amp; Y4,'Null-12 500-250'!$P$27:$AA$34,"&lt;=" &amp; Z4)+COUNTIFS('Null-12 500-250'!$P$3:$AA$10,"&gt;" &amp; Y4,'Null-12 500-250'!$P$3:$AA$10,"&lt;=" &amp; Z4)+COUNTIFS('EXP 12 250-125 redo'!$P$3:$AA$10,"&gt;" &amp; Y4,'EXP 12 250-125 redo'!$P$3:$AA$10,"&lt;=" &amp; Z4)</f>
        <v>20</v>
      </c>
      <c r="AB4" s="175"/>
      <c r="AC4" s="176">
        <v>20</v>
      </c>
      <c r="AD4" s="176">
        <v>40</v>
      </c>
      <c r="AE4" s="177" t="e">
        <f t="shared" si="0"/>
        <v>#REF!</v>
      </c>
      <c r="AF4" s="182" t="s">
        <v>659</v>
      </c>
    </row>
    <row r="5" spans="1:32">
      <c r="A5" s="173">
        <v>40</v>
      </c>
      <c r="B5" s="173">
        <v>60</v>
      </c>
      <c r="C5" s="174">
        <f>COUNTIFS('Null-1a (Crack) 2000-500'!$P$3:$AA$10,"&gt;" &amp; A5,'Null-1a (Crack) 2000-500'!$P$3:$AA$10,"&lt;=" &amp; B5)+COUNTIFS('Null-1a (Crack) 500-250'!$P$3:$AA$10,"&gt;" &amp; A5,'Null-1a (Crack) 500-250'!$P$3:$AA$10,"&lt;=" &amp; B5)+COUNTIFS('Null-1a (Crack) 500-250'!$P$15:$AA$22,"&gt;" &amp; A5,'Null-1a (Crack) 500-250'!$P$15:$AA$22,"&lt;=" &amp; B5)+COUNTIFS('Null-1a (Crack) 250-125'!$P$3:AA$10,"&gt;" &amp; A5,'Null-1a (Crack) 250-125'!$P$3:$AA$10,"&lt;=" &amp; B5)</f>
        <v>19</v>
      </c>
      <c r="D5" s="175"/>
      <c r="E5" s="176">
        <v>40</v>
      </c>
      <c r="F5" s="176">
        <v>60</v>
      </c>
      <c r="G5" s="177" t="e">
        <f>COUNTIFS(#REF!,"&gt;" &amp; E5,#REF!,"&lt;=" &amp; F5)+COUNTIFS('Null-1b (Bowl) 500-250'!$P$3:$AA$10,"&gt;" &amp; E5,'Null-1b (Bowl) 500-250'!$P$3:$AA$10,"&lt;=" &amp; F5)+COUNTIFS('Null-1b (Bowl) 500-250'!$P$15:$AA$22,"&gt;" &amp; E5,'Null-1b (Bowl) 500-250'!$P$15:$AA$22,"&lt;=" &amp; F5)+COUNTIFS('Null-1b (Bowl) 500-250'!$P$27:$AA$34,"&gt;" &amp; E5,'Null-1b (Bowl) 500-250'!$P$27:$AA$34,"&lt;=" &amp; F5)+COUNTIFS('Null-1b (Bowl) 250-125'!$P$3:$AA$10,"&gt;" &amp; E5,'Null-1b (Bowl) 250-125'!$P$3:$AA$10,"&lt;=" &amp; F5)+COUNTIFS('Null-1b (Bowl) 250-125'!$P$14:$AA$21,"&gt;" &amp; E5,'Null-1b (Bowl) 250-125'!$P$14:$AA$21,"&lt;=" &amp; F5)+COUNTIFS('Null-1b (Bowl) 250-125'!$P$25:$AA$32,"&gt;" &amp; E5,'Null-1b (Bowl) 250-125'!$P$25:$AA$32,"&lt;=" &amp; F5)+COUNTIFS('Null-1b (Bowl) 250-125'!$P$36:$AA$43,"&gt;" &amp; E5,'Null-1b (Bowl) 250-125'!$P$36:$AA$43,"&lt;=" &amp; F5)</f>
        <v>#REF!</v>
      </c>
      <c r="H5" s="175"/>
      <c r="I5" s="178">
        <v>40</v>
      </c>
      <c r="J5" s="178">
        <v>60</v>
      </c>
      <c r="K5" s="179">
        <f>COUNTIFS('Null-1c (Control) 2000-250'!$P$3:$AA$10,"&gt;" &amp; I5,'Null-1c (Control) 2000-250'!$P$3:$AA$10,"&lt;=" &amp; J5)+COUNTIFS('Null-1c (Control) 250-125'!$P$3:$AA$10,"&gt;" &amp; I5,'Null-1c (Control) 250-125'!$P$3:$AA$10,"&lt;=" &amp; J5)+COUNTIFS('Null-1c (Control) 250-125'!$P$3:$AA$10,"&gt;" &amp; I5,'Null-1c (Control) 250-125'!$P$3:$AA$10,"&lt;=" &amp; J5)</f>
        <v>43</v>
      </c>
      <c r="L5" s="183"/>
      <c r="M5" s="178">
        <v>40</v>
      </c>
      <c r="N5" s="176">
        <v>60</v>
      </c>
      <c r="O5" s="177">
        <f>COUNTIFS('Null-3 2000-500'!$P$3:$AA$10,"&gt;" &amp; M5,'Null-3 2000-500'!$P$3:$AA$10,"&lt;=" &amp; N5)+COUNTIFS('Null-3 500-250'!$P$3:$AA$10,"&gt;" &amp; M5,'Null-3 500-250'!$P$3:$AA$10,"&lt;=" &amp; N5)+COUNTIFS('Null-3 500-250'!$P$14:$AA$21,"&gt;" &amp; M5,'Null-3 500-250'!$P$14:$AA$21,"&lt;=" &amp; N5)+COUNTIFS('Null-3 500-250'!$P$25:$AA$32,"&gt;" &amp; M5,'Null-3 500-250'!$P$25:$AA$32,"&lt;=" &amp; N5)+COUNTIFS('Null-3 500-250'!$P$36:$AA$43,"&gt;" &amp; M5,'Null-3 500-250'!$P$36:$AA$43,"&lt;=" &amp; N5)+COUNTIFS('Null-3 500-250'!$P$47:$AA$54,"&gt;" &amp; M5,'Null-3 500-250'!$P$47:$AA$54,"&lt;=" &amp; N5)+COUNTIFS('Null-3 500-250'!$P$59:$AA$66,"&gt;" &amp; M5,'Null-3 500-250'!$P$59:$AA$66,"&lt;=" &amp; N5)+COUNTIFS('Null-3 125-250'!$P$3:$AA$10,"&gt;" &amp; M5,'Null-3 125-250'!$P$3:$AA$10,"&lt;=" &amp; N5)+COUNTIFS('Null-3 125-250'!$P$15:$AA$22,"&gt;" &amp; M5,'Null-3 125-250'!$P$15:$AA$22,"&lt;=" &amp; N5)+COUNTIFS('Null-3 125-250'!$P$27:$AA$34,"&gt;" &amp; M5,'Null-3 125-250'!$P$27:$AA$34,"&lt;=" &amp; N5)</f>
        <v>154</v>
      </c>
      <c r="P5" s="175"/>
      <c r="Q5" s="176">
        <v>40</v>
      </c>
      <c r="R5" s="176">
        <v>60</v>
      </c>
      <c r="S5" s="177">
        <f>COUNTIFS('Null-6 2000-500'!$P$3:$AA$10,"&gt;" &amp; Q5,'Null-6 2000-500'!$P$3:$AA$10,"&lt;=" &amp; R5)+COUNTIFS('Null-6 2000-500'!$P$15:$AA$22,"&gt;" &amp; Q5,'Null-6 2000-500'!$P$15:$AA$22,"&lt;=" &amp; R5)+COUNTIFS('Null-6 500-250'!$P$3:$AA$10,"&gt;" &amp; Q5,'Null-6 500-250'!$P$3:$AA$10,"&lt;=" &amp; R5)+COUNTIFS('Null-6 500-250'!$P$15:$AA$22,"&gt;" &amp; Q5,'Null-6 500-250'!$P$15:$AA$22,"&lt;=" &amp; R5)+COUNTIFS('Null-6 250-125'!$P$3:$AA$10,"&gt;" &amp; Q5,'Null-6 250-125'!$P$3:$AA$10,"&lt;=" &amp; R5)+COUNTIFS('Null-6 250-125'!$P$16:$AA$23,"&gt;" &amp; Q5,'Null-6 250-125'!$P$16:$AA$23,"&lt;=" &amp; R5)+COUNTIFS('Null-6 250-125'!$P$29:$AA$36,"&gt;" &amp; Q5,'Null-6 250-125'!$P$29:$AA$36,"&lt;=" &amp; R5)</f>
        <v>138</v>
      </c>
      <c r="T5" s="175"/>
      <c r="U5" s="176">
        <v>40</v>
      </c>
      <c r="V5" s="176">
        <v>60</v>
      </c>
      <c r="W5" s="177">
        <f>COUNTIFS('Null-10'!$P$3:$AA$10,"&gt;" &amp; U5,'Null-10'!$P$3:$AA$10,"&lt;=" &amp; V5)+COUNTIFS('Null-10'!$P$16:$AA$23,"&gt;" &amp; U5,'Null-10'!$P$16:$AA$23,"&lt;=" &amp; V5)+COUNTIFS('Null-10'!$P$27:$AA$34,"&gt;" &amp; U5,'Null-10'!$P$27:$AA$34,"&lt;=" &amp; V5)+COUNTIFS('Null-10'!$P$38:$AA$45,"&gt;" &amp; U5,'Null-10'!$P$38:$AA$45,"&lt;=" &amp; V5)+COUNTIFS('Null-10'!$P$49:$AA$56,"&gt;" &amp; U5,'Null-10'!$P$49:$AA$56,"&lt;=" &amp; V5)+COUNTIFS('Null-10'!$P$60:$AA$67,"&gt;" &amp; U5,'Null-10'!$P$60:$AA$67,"&lt;=" &amp; V5)+COUNTIFS('Null-10'!$P$71:$AA$78,"&gt;" &amp; U5,'Null-10'!$P$71:$AA$78,"&lt;=" &amp; V5)+COUNTIFS('Null-10'!$P$83:$AA$90,"&gt;" &amp; U5,'Null-10'!$P$83:$AA$90,"&lt;=" &amp; V5)+COUNTIFS('Null-10'!$P$94:$AA$101,"&gt;" &amp; U5,'Null-10'!$P$94:$AA$101,"&lt;=" &amp; V5)</f>
        <v>3</v>
      </c>
      <c r="X5" s="175"/>
      <c r="Y5" s="176">
        <v>40</v>
      </c>
      <c r="Z5" s="176">
        <v>60</v>
      </c>
      <c r="AA5" s="177">
        <f>COUNTIFS('Null-12 2000-500'!$P$3:$AA$10,"&gt;" &amp; Y5,'Null-12 2000-500'!$P$3:$AA$10,"&lt;=" &amp; Z5)+COUNTIFS('Null-12 500-250'!$P$15:$AA$22,"&gt;" &amp;Y5,'Null-12 500-250'!$P$15:$AA$22,"&lt;=" &amp; Z5)+COUNTIFS('Null-12 500-250'!$P$27:$AA$34,"&gt;" &amp; Y5,'Null-12 500-250'!$P$27:$AA$34,"&lt;=" &amp; Z5)+COUNTIFS('Null-12 500-250'!$P$3:$AA$10,"&gt;" &amp; Y5,'Null-12 500-250'!$P$3:$AA$10,"&lt;=" &amp; Z5)+COUNTIFS('EXP 12 250-125 redo'!$P$3:$AA$10,"&gt;" &amp; Y5,'EXP 12 250-125 redo'!$P$3:$AA$10,"&lt;=" &amp; Z5)</f>
        <v>41</v>
      </c>
      <c r="AB5" s="175"/>
      <c r="AC5" s="176">
        <v>40</v>
      </c>
      <c r="AD5" s="176">
        <v>60</v>
      </c>
      <c r="AE5" s="177" t="e">
        <f t="shared" si="0"/>
        <v>#REF!</v>
      </c>
      <c r="AF5" s="182" t="s">
        <v>660</v>
      </c>
    </row>
    <row r="6" spans="1:32">
      <c r="A6" s="173">
        <v>60</v>
      </c>
      <c r="B6" s="173">
        <v>80</v>
      </c>
      <c r="C6" s="174">
        <f>COUNTIFS('Null-1a (Crack) 2000-500'!$P$3:$AA$10,"&gt;" &amp; A6,'Null-1a (Crack) 2000-500'!$P$3:$AA$10,"&lt;=" &amp; B6)+COUNTIFS('Null-1a (Crack) 500-250'!$P$3:$AA$10,"&gt;" &amp; A6,'Null-1a (Crack) 500-250'!$P$3:$AA$10,"&lt;=" &amp; B6)+COUNTIFS('Null-1a (Crack) 500-250'!$P$15:$AA$22,"&gt;" &amp; A6,'Null-1a (Crack) 500-250'!$P$15:$AA$22,"&lt;=" &amp; B6)+COUNTIFS('Null-1a (Crack) 250-125'!$P$3:AA$10,"&gt;" &amp; A6,'Null-1a (Crack) 250-125'!$P$3:$AA$10,"&lt;=" &amp; B6)</f>
        <v>4</v>
      </c>
      <c r="D6" s="175"/>
      <c r="E6" s="176">
        <v>60</v>
      </c>
      <c r="F6" s="176">
        <v>80</v>
      </c>
      <c r="G6" s="177" t="e">
        <f>COUNTIFS(#REF!,"&gt;" &amp; E6,#REF!,"&lt;=" &amp; F6)+COUNTIFS('Null-1b (Bowl) 500-250'!$P$3:$AA$10,"&gt;" &amp; E6,'Null-1b (Bowl) 500-250'!$P$3:$AA$10,"&lt;=" &amp; F6)+COUNTIFS('Null-1b (Bowl) 500-250'!$P$15:$AA$22,"&gt;" &amp; E6,'Null-1b (Bowl) 500-250'!$P$15:$AA$22,"&lt;=" &amp; F6)+COUNTIFS('Null-1b (Bowl) 500-250'!$P$27:$AA$34,"&gt;" &amp; E6,'Null-1b (Bowl) 500-250'!$P$27:$AA$34,"&lt;=" &amp; F6)+COUNTIFS('Null-1b (Bowl) 250-125'!$P$3:$AA$10,"&gt;" &amp; E6,'Null-1b (Bowl) 250-125'!$P$3:$AA$10,"&lt;=" &amp; F6)+COUNTIFS('Null-1b (Bowl) 250-125'!$P$14:$AA$21,"&gt;" &amp; E6,'Null-1b (Bowl) 250-125'!$P$14:$AA$21,"&lt;=" &amp; F6)+COUNTIFS('Null-1b (Bowl) 250-125'!$P$25:$AA$32,"&gt;" &amp; E6,'Null-1b (Bowl) 250-125'!$P$25:$AA$32,"&lt;=" &amp; F6)+COUNTIFS('Null-1b (Bowl) 250-125'!$P$36:$AA$43,"&gt;" &amp; E6,'Null-1b (Bowl) 250-125'!$P$36:$AA$43,"&lt;=" &amp; F6)</f>
        <v>#REF!</v>
      </c>
      <c r="H6" s="175"/>
      <c r="I6" s="178">
        <v>60</v>
      </c>
      <c r="J6" s="178">
        <v>80</v>
      </c>
      <c r="K6" s="179">
        <f>COUNTIFS('Null-1c (Control) 2000-250'!$P$3:$AA$10,"&gt;" &amp; I6,'Null-1c (Control) 2000-250'!$P$3:$AA$10,"&lt;=" &amp; J6)+COUNTIFS('Null-1c (Control) 250-125'!$P$3:$AA$10,"&gt;" &amp; I6,'Null-1c (Control) 250-125'!$P$3:$AA$10,"&lt;=" &amp; J6)+COUNTIFS('Null-1c (Control) 250-125'!$P$3:$AA$10,"&gt;" &amp; I6,'Null-1c (Control) 250-125'!$P$3:$AA$10,"&lt;=" &amp; J6)</f>
        <v>8</v>
      </c>
      <c r="L6" s="183"/>
      <c r="M6" s="178">
        <v>60</v>
      </c>
      <c r="N6" s="176">
        <v>80</v>
      </c>
      <c r="O6" s="177">
        <f>COUNTIFS('Null-3 2000-500'!$P$3:$AA$10,"&gt;" &amp; M6,'Null-3 2000-500'!$P$3:$AA$10,"&lt;=" &amp; N6)+COUNTIFS('Null-3 500-250'!$P$3:$AA$10,"&gt;" &amp; M6,'Null-3 500-250'!$P$3:$AA$10,"&lt;=" &amp; N6)+COUNTIFS('Null-3 500-250'!$P$14:$AA$21,"&gt;" &amp; M6,'Null-3 500-250'!$P$14:$AA$21,"&lt;=" &amp; N6)+COUNTIFS('Null-3 500-250'!$P$25:$AA$32,"&gt;" &amp; M6,'Null-3 500-250'!$P$25:$AA$32,"&lt;=" &amp; N6)+COUNTIFS('Null-3 500-250'!$P$36:$AA$43,"&gt;" &amp; M6,'Null-3 500-250'!$P$36:$AA$43,"&lt;=" &amp; N6)+COUNTIFS('Null-3 500-250'!$P$47:$AA$54,"&gt;" &amp; M6,'Null-3 500-250'!$P$47:$AA$54,"&lt;=" &amp; N6)+COUNTIFS('Null-3 500-250'!$P$59:$AA$66,"&gt;" &amp; M6,'Null-3 500-250'!$P$59:$AA$66,"&lt;=" &amp; N6)+COUNTIFS('Null-3 125-250'!$P$3:$AA$10,"&gt;" &amp; M6,'Null-3 125-250'!$P$3:$AA$10,"&lt;=" &amp; N6)+COUNTIFS('Null-3 125-250'!$P$15:$AA$22,"&gt;" &amp; M6,'Null-3 125-250'!$P$15:$AA$22,"&lt;=" &amp; N6)+COUNTIFS('Null-3 125-250'!$P$27:$AA$34,"&gt;" &amp; M6,'Null-3 125-250'!$P$27:$AA$34,"&lt;=" &amp; N6)</f>
        <v>35</v>
      </c>
      <c r="P6" s="175"/>
      <c r="Q6" s="176">
        <v>60</v>
      </c>
      <c r="R6" s="176">
        <v>80</v>
      </c>
      <c r="S6" s="177">
        <f>COUNTIFS('Null-6 2000-500'!$P$3:$AA$10,"&gt;" &amp; Q6,'Null-6 2000-500'!$P$3:$AA$10,"&lt;=" &amp; R6)+COUNTIFS('Null-6 2000-500'!$P$15:$AA$22,"&gt;" &amp; Q6,'Null-6 2000-500'!$P$15:$AA$22,"&lt;=" &amp; R6)+COUNTIFS('Null-6 500-250'!$P$3:$AA$10,"&gt;" &amp; Q6,'Null-6 500-250'!$P$3:$AA$10,"&lt;=" &amp; R6)+COUNTIFS('Null-6 500-250'!$P$15:$AA$22,"&gt;" &amp; Q6,'Null-6 500-250'!$P$15:$AA$22,"&lt;=" &amp; R6)+COUNTIFS('Null-6 250-125'!$P$3:$AA$10,"&gt;" &amp; Q6,'Null-6 250-125'!$P$3:$AA$10,"&lt;=" &amp; R6)+COUNTIFS('Null-6 250-125'!$P$16:$AA$23,"&gt;" &amp; Q6,'Null-6 250-125'!$P$16:$AA$23,"&lt;=" &amp; R6)+COUNTIFS('Null-6 250-125'!$P$29:$AA$36,"&gt;" &amp; Q6,'Null-6 250-125'!$P$29:$AA$36,"&lt;=" &amp; R6)</f>
        <v>26</v>
      </c>
      <c r="T6" s="175"/>
      <c r="U6" s="176">
        <v>60</v>
      </c>
      <c r="V6" s="176">
        <v>80</v>
      </c>
      <c r="W6" s="177">
        <f>COUNTIFS('Null-10'!$P$3:$AA$10,"&gt;" &amp; U6,'Null-10'!$P$3:$AA$10,"&lt;=" &amp; V6)+COUNTIFS('Null-10'!$P$16:$AA$23,"&gt;" &amp; U6,'Null-10'!$P$16:$AA$23,"&lt;=" &amp; V6)+COUNTIFS('Null-10'!$P$27:$AA$34,"&gt;" &amp; U6,'Null-10'!$P$27:$AA$34,"&lt;=" &amp; V6)+COUNTIFS('Null-10'!$P$38:$AA$45,"&gt;" &amp; U6,'Null-10'!$P$38:$AA$45,"&lt;=" &amp; V6)+COUNTIFS('Null-10'!$P$49:$AA$56,"&gt;" &amp; U6,'Null-10'!$P$49:$AA$56,"&lt;=" &amp; V6)+COUNTIFS('Null-10'!$P$60:$AA$67,"&gt;" &amp; U6,'Null-10'!$P$60:$AA$67,"&lt;=" &amp; V6)+COUNTIFS('Null-10'!$P$71:$AA$78,"&gt;" &amp; U6,'Null-10'!$P$71:$AA$78,"&lt;=" &amp; V6)+COUNTIFS('Null-10'!$P$83:$AA$90,"&gt;" &amp; U6,'Null-10'!$P$83:$AA$90,"&lt;=" &amp; V6)+COUNTIFS('Null-10'!$P$94:$AA$101,"&gt;" &amp; U6,'Null-10'!$P$94:$AA$101,"&lt;=" &amp; V6)</f>
        <v>8</v>
      </c>
      <c r="X6" s="175"/>
      <c r="Y6" s="176">
        <v>60</v>
      </c>
      <c r="Z6" s="176">
        <v>80</v>
      </c>
      <c r="AA6" s="177">
        <f>COUNTIFS('Null-12 2000-500'!$P$3:$AA$10,"&gt;" &amp; Y6,'Null-12 2000-500'!$P$3:$AA$10,"&lt;=" &amp; Z6)+COUNTIFS('Null-12 500-250'!$P$15:$AA$22,"&gt;" &amp;Y6,'Null-12 500-250'!$P$15:$AA$22,"&lt;=" &amp; Z6)+COUNTIFS('Null-12 500-250'!$P$27:$AA$34,"&gt;" &amp; Y6,'Null-12 500-250'!$P$27:$AA$34,"&lt;=" &amp; Z6)+COUNTIFS('Null-12 500-250'!$P$3:$AA$10,"&gt;" &amp; Y6,'Null-12 500-250'!$P$3:$AA$10,"&lt;=" &amp; Z6)+COUNTIFS('EXP 12 250-125 redo'!$P$3:$AA$10,"&gt;" &amp; Y6,'EXP 12 250-125 redo'!$P$3:$AA$10,"&lt;=" &amp; Z6)</f>
        <v>29</v>
      </c>
      <c r="AB6" s="175"/>
      <c r="AC6" s="176">
        <v>60</v>
      </c>
      <c r="AD6" s="176">
        <v>80</v>
      </c>
      <c r="AE6" s="177" t="e">
        <f t="shared" si="0"/>
        <v>#REF!</v>
      </c>
      <c r="AF6" s="182" t="s">
        <v>661</v>
      </c>
    </row>
    <row r="7" spans="1:32">
      <c r="A7" s="173">
        <v>80</v>
      </c>
      <c r="B7" s="173">
        <v>100</v>
      </c>
      <c r="C7" s="174">
        <f>COUNTIFS('Null-1a (Crack) 2000-500'!$P$3:$AA$10,"&gt;" &amp; A7,'Null-1a (Crack) 2000-500'!$P$3:$AA$10,"&lt;=" &amp; B7)+COUNTIFS('Null-1a (Crack) 500-250'!$P$3:$AA$10,"&gt;" &amp; A7,'Null-1a (Crack) 500-250'!$P$3:$AA$10,"&lt;=" &amp; B7)+COUNTIFS('Null-1a (Crack) 500-250'!$P$15:$AA$22,"&gt;" &amp; A7,'Null-1a (Crack) 500-250'!$P$15:$AA$22,"&lt;=" &amp; B7)+COUNTIFS('Null-1a (Crack) 250-125'!$P$3:AA$10,"&gt;" &amp; A7,'Null-1a (Crack) 250-125'!$P$3:$AA$10,"&lt;=" &amp; B7)</f>
        <v>5</v>
      </c>
      <c r="D7" s="175"/>
      <c r="E7" s="176">
        <v>80</v>
      </c>
      <c r="F7" s="176">
        <v>100</v>
      </c>
      <c r="G7" s="177" t="e">
        <f>COUNTIFS(#REF!,"&gt;" &amp; E7,#REF!,"&lt;=" &amp; F7)+COUNTIFS('Null-1b (Bowl) 500-250'!$P$3:$AA$10,"&gt;" &amp; E7,'Null-1b (Bowl) 500-250'!$P$3:$AA$10,"&lt;=" &amp; F7)+COUNTIFS('Null-1b (Bowl) 500-250'!$P$15:$AA$22,"&gt;" &amp; E7,'Null-1b (Bowl) 500-250'!$P$15:$AA$22,"&lt;=" &amp; F7)+COUNTIFS('Null-1b (Bowl) 500-250'!$P$27:$AA$34,"&gt;" &amp; E7,'Null-1b (Bowl) 500-250'!$P$27:$AA$34,"&lt;=" &amp; F7)+COUNTIFS('Null-1b (Bowl) 250-125'!$P$3:$AA$10,"&gt;" &amp; E7,'Null-1b (Bowl) 250-125'!$P$3:$AA$10,"&lt;=" &amp; F7)+COUNTIFS('Null-1b (Bowl) 250-125'!$P$14:$AA$21,"&gt;" &amp; E7,'Null-1b (Bowl) 250-125'!$P$14:$AA$21,"&lt;=" &amp; F7)+COUNTIFS('Null-1b (Bowl) 250-125'!$P$25:$AA$32,"&gt;" &amp; E7,'Null-1b (Bowl) 250-125'!$P$25:$AA$32,"&lt;=" &amp; F7)+COUNTIFS('Null-1b (Bowl) 250-125'!$P$36:$AA$43,"&gt;" &amp; E7,'Null-1b (Bowl) 250-125'!$P$36:$AA$43,"&lt;=" &amp; F7)</f>
        <v>#REF!</v>
      </c>
      <c r="H7" s="175"/>
      <c r="I7" s="178">
        <v>80</v>
      </c>
      <c r="J7" s="178">
        <v>100</v>
      </c>
      <c r="K7" s="179">
        <f>COUNTIFS('Null-1c (Control) 2000-250'!$P$3:$AA$10,"&gt;" &amp; I7,'Null-1c (Control) 2000-250'!$P$3:$AA$10,"&lt;=" &amp; J7)+COUNTIFS('Null-1c (Control) 250-125'!$P$3:$AA$10,"&gt;" &amp; I7,'Null-1c (Control) 250-125'!$P$3:$AA$10,"&lt;=" &amp; J7)+COUNTIFS('Null-1c (Control) 250-125'!$P$3:$AA$10,"&gt;" &amp; I7,'Null-1c (Control) 250-125'!$P$3:$AA$10,"&lt;=" &amp; J7)</f>
        <v>0</v>
      </c>
      <c r="L7" s="183"/>
      <c r="M7" s="178">
        <v>80</v>
      </c>
      <c r="N7" s="176">
        <v>100</v>
      </c>
      <c r="O7" s="177">
        <f>COUNTIFS('Null-3 2000-500'!$P$3:$AA$10,"&gt;" &amp; M7,'Null-3 2000-500'!$P$3:$AA$10,"&lt;=" &amp; N7)+COUNTIFS('Null-3 500-250'!$P$3:$AA$10,"&gt;" &amp; M7,'Null-3 500-250'!$P$3:$AA$10,"&lt;=" &amp; N7)+COUNTIFS('Null-3 500-250'!$P$14:$AA$21,"&gt;" &amp; M7,'Null-3 500-250'!$P$14:$AA$21,"&lt;=" &amp; N7)+COUNTIFS('Null-3 500-250'!$P$25:$AA$32,"&gt;" &amp; M7,'Null-3 500-250'!$P$25:$AA$32,"&lt;=" &amp; N7)+COUNTIFS('Null-3 500-250'!$P$36:$AA$43,"&gt;" &amp; M7,'Null-3 500-250'!$P$36:$AA$43,"&lt;=" &amp; N7)+COUNTIFS('Null-3 500-250'!$P$47:$AA$54,"&gt;" &amp; M7,'Null-3 500-250'!$P$47:$AA$54,"&lt;=" &amp; N7)+COUNTIFS('Null-3 500-250'!$P$59:$AA$66,"&gt;" &amp; M7,'Null-3 500-250'!$P$59:$AA$66,"&lt;=" &amp; N7)+COUNTIFS('Null-3 125-250'!$P$3:$AA$10,"&gt;" &amp; M7,'Null-3 125-250'!$P$3:$AA$10,"&lt;=" &amp; N7)+COUNTIFS('Null-3 125-250'!$P$15:$AA$22,"&gt;" &amp; M7,'Null-3 125-250'!$P$15:$AA$22,"&lt;=" &amp; N7)+COUNTIFS('Null-3 125-250'!$P$27:$AA$34,"&gt;" &amp; M7,'Null-3 125-250'!$P$27:$AA$34,"&lt;=" &amp; N7)</f>
        <v>25</v>
      </c>
      <c r="P7" s="175"/>
      <c r="Q7" s="176">
        <v>80</v>
      </c>
      <c r="R7" s="176">
        <v>100</v>
      </c>
      <c r="S7" s="177">
        <f>COUNTIFS('Null-6 2000-500'!$P$3:$AA$10,"&gt;" &amp; Q7,'Null-6 2000-500'!$P$3:$AA$10,"&lt;=" &amp; R7)+COUNTIFS('Null-6 2000-500'!$P$15:$AA$22,"&gt;" &amp; Q7,'Null-6 2000-500'!$P$15:$AA$22,"&lt;=" &amp; R7)+COUNTIFS('Null-6 500-250'!$P$3:$AA$10,"&gt;" &amp; Q7,'Null-6 500-250'!$P$3:$AA$10,"&lt;=" &amp; R7)+COUNTIFS('Null-6 500-250'!$P$15:$AA$22,"&gt;" &amp; Q7,'Null-6 500-250'!$P$15:$AA$22,"&lt;=" &amp; R7)+COUNTIFS('Null-6 250-125'!$P$3:$AA$10,"&gt;" &amp; Q7,'Null-6 250-125'!$P$3:$AA$10,"&lt;=" &amp; R7)+COUNTIFS('Null-6 250-125'!$P$16:$AA$23,"&gt;" &amp; Q7,'Null-6 250-125'!$P$16:$AA$23,"&lt;=" &amp; R7)+COUNTIFS('Null-6 250-125'!$P$29:$AA$36,"&gt;" &amp; Q7,'Null-6 250-125'!$P$29:$AA$36,"&lt;=" &amp; R7)</f>
        <v>10</v>
      </c>
      <c r="T7" s="175"/>
      <c r="U7" s="176">
        <v>80</v>
      </c>
      <c r="V7" s="176">
        <v>100</v>
      </c>
      <c r="W7" s="177">
        <f>COUNTIFS('Null-10'!$P$3:$AA$10,"&gt;" &amp; U7,'Null-10'!$P$3:$AA$10,"&lt;=" &amp; V7)+COUNTIFS('Null-10'!$P$16:$AA$23,"&gt;" &amp; U7,'Null-10'!$P$16:$AA$23,"&lt;=" &amp; V7)+COUNTIFS('Null-10'!$P$27:$AA$34,"&gt;" &amp; U7,'Null-10'!$P$27:$AA$34,"&lt;=" &amp; V7)+COUNTIFS('Null-10'!$P$38:$AA$45,"&gt;" &amp; U7,'Null-10'!$P$38:$AA$45,"&lt;=" &amp; V7)+COUNTIFS('Null-10'!$P$49:$AA$56,"&gt;" &amp; U7,'Null-10'!$P$49:$AA$56,"&lt;=" &amp; V7)+COUNTIFS('Null-10'!$P$60:$AA$67,"&gt;" &amp; U7,'Null-10'!$P$60:$AA$67,"&lt;=" &amp; V7)+COUNTIFS('Null-10'!$P$71:$AA$78,"&gt;" &amp; U7,'Null-10'!$P$71:$AA$78,"&lt;=" &amp; V7)+COUNTIFS('Null-10'!$P$83:$AA$90,"&gt;" &amp; U7,'Null-10'!$P$83:$AA$90,"&lt;=" &amp; V7)+COUNTIFS('Null-10'!$P$94:$AA$101,"&gt;" &amp; U7,'Null-10'!$P$94:$AA$101,"&lt;=" &amp; V7)</f>
        <v>14</v>
      </c>
      <c r="X7" s="175"/>
      <c r="Y7" s="176">
        <v>80</v>
      </c>
      <c r="Z7" s="176">
        <v>100</v>
      </c>
      <c r="AA7" s="177">
        <f>COUNTIFS('Null-12 2000-500'!$P$3:$AA$10,"&gt;" &amp; Y7,'Null-12 2000-500'!$P$3:$AA$10,"&lt;=" &amp; Z7)+COUNTIFS('Null-12 500-250'!$P$15:$AA$22,"&gt;" &amp;Y7,'Null-12 500-250'!$P$15:$AA$22,"&lt;=" &amp; Z7)+COUNTIFS('Null-12 500-250'!$P$27:$AA$34,"&gt;" &amp; Y7,'Null-12 500-250'!$P$27:$AA$34,"&lt;=" &amp; Z7)+COUNTIFS('Null-12 500-250'!$P$3:$AA$10,"&gt;" &amp; Y7,'Null-12 500-250'!$P$3:$AA$10,"&lt;=" &amp; Z7)+COUNTIFS('EXP 12 250-125 redo'!$P$3:$AA$10,"&gt;" &amp; Y7,'EXP 12 250-125 redo'!$P$3:$AA$10,"&lt;=" &amp; Z7)</f>
        <v>31</v>
      </c>
      <c r="AB7" s="175"/>
      <c r="AC7" s="176">
        <v>80</v>
      </c>
      <c r="AD7" s="176">
        <v>100</v>
      </c>
      <c r="AE7" s="177" t="e">
        <f t="shared" si="0"/>
        <v>#REF!</v>
      </c>
      <c r="AF7" s="182" t="s">
        <v>662</v>
      </c>
    </row>
    <row r="8" spans="1:32">
      <c r="A8" s="173">
        <v>100</v>
      </c>
      <c r="B8" s="173">
        <v>120</v>
      </c>
      <c r="C8" s="174">
        <f>COUNTIFS('Null-1a (Crack) 2000-500'!$P$3:$AA$10,"&gt;" &amp; A8,'Null-1a (Crack) 2000-500'!$P$3:$AA$10,"&lt;=" &amp; B8)+COUNTIFS('Null-1a (Crack) 500-250'!$P$3:$AA$10,"&gt;" &amp; A8,'Null-1a (Crack) 500-250'!$P$3:$AA$10,"&lt;=" &amp; B8)+COUNTIFS('Null-1a (Crack) 500-250'!$P$15:$AA$22,"&gt;" &amp; A8,'Null-1a (Crack) 500-250'!$P$15:$AA$22,"&lt;=" &amp; B8)+COUNTIFS('Null-1a (Crack) 250-125'!$P$3:AA$10,"&gt;" &amp; A8,'Null-1a (Crack) 250-125'!$P$3:$AA$10,"&lt;=" &amp; B8)</f>
        <v>3</v>
      </c>
      <c r="D8" s="175"/>
      <c r="E8" s="176">
        <v>100</v>
      </c>
      <c r="F8" s="176">
        <v>120</v>
      </c>
      <c r="G8" s="177" t="e">
        <f>COUNTIFS(#REF!,"&gt;" &amp; E8,#REF!,"&lt;=" &amp; F8)+COUNTIFS('Null-1b (Bowl) 500-250'!$P$3:$AA$10,"&gt;" &amp; E8,'Null-1b (Bowl) 500-250'!$P$3:$AA$10,"&lt;=" &amp; F8)+COUNTIFS('Null-1b (Bowl) 500-250'!$P$15:$AA$22,"&gt;" &amp; E8,'Null-1b (Bowl) 500-250'!$P$15:$AA$22,"&lt;=" &amp; F8)+COUNTIFS('Null-1b (Bowl) 500-250'!$P$27:$AA$34,"&gt;" &amp; E8,'Null-1b (Bowl) 500-250'!$P$27:$AA$34,"&lt;=" &amp; F8)+COUNTIFS('Null-1b (Bowl) 250-125'!$P$3:$AA$10,"&gt;" &amp; E8,'Null-1b (Bowl) 250-125'!$P$3:$AA$10,"&lt;=" &amp; F8)+COUNTIFS('Null-1b (Bowl) 250-125'!$P$14:$AA$21,"&gt;" &amp; E8,'Null-1b (Bowl) 250-125'!$P$14:$AA$21,"&lt;=" &amp; F8)+COUNTIFS('Null-1b (Bowl) 250-125'!$P$25:$AA$32,"&gt;" &amp; E8,'Null-1b (Bowl) 250-125'!$P$25:$AA$32,"&lt;=" &amp; F8)+COUNTIFS('Null-1b (Bowl) 250-125'!$P$36:$AA$43,"&gt;" &amp; E8,'Null-1b (Bowl) 250-125'!$P$36:$AA$43,"&lt;=" &amp; F8)</f>
        <v>#REF!</v>
      </c>
      <c r="H8" s="175"/>
      <c r="I8" s="178">
        <v>100</v>
      </c>
      <c r="J8" s="178">
        <v>120</v>
      </c>
      <c r="K8" s="179">
        <f>COUNTIFS('Null-1c (Control) 2000-250'!$P$3:$AA$10,"&gt;" &amp; I8,'Null-1c (Control) 2000-250'!$P$3:$AA$10,"&lt;=" &amp; J8)+COUNTIFS('Null-1c (Control) 250-125'!$P$3:$AA$10,"&gt;" &amp; I8,'Null-1c (Control) 250-125'!$P$3:$AA$10,"&lt;=" &amp; J8)+COUNTIFS('Null-1c (Control) 250-125'!$P$3:$AA$10,"&gt;" &amp; I8,'Null-1c (Control) 250-125'!$P$3:$AA$10,"&lt;=" &amp; J8)</f>
        <v>5</v>
      </c>
      <c r="L8" s="183"/>
      <c r="M8" s="178">
        <v>100</v>
      </c>
      <c r="N8" s="176">
        <v>120</v>
      </c>
      <c r="O8" s="177">
        <f>COUNTIFS('Null-3 2000-500'!$P$3:$AA$10,"&gt;" &amp; M8,'Null-3 2000-500'!$P$3:$AA$10,"&lt;=" &amp; N8)+COUNTIFS('Null-3 500-250'!$P$3:$AA$10,"&gt;" &amp; M8,'Null-3 500-250'!$P$3:$AA$10,"&lt;=" &amp; N8)+COUNTIFS('Null-3 500-250'!$P$14:$AA$21,"&gt;" &amp; M8,'Null-3 500-250'!$P$14:$AA$21,"&lt;=" &amp; N8)+COUNTIFS('Null-3 500-250'!$P$25:$AA$32,"&gt;" &amp; M8,'Null-3 500-250'!$P$25:$AA$32,"&lt;=" &amp; N8)+COUNTIFS('Null-3 500-250'!$P$36:$AA$43,"&gt;" &amp; M8,'Null-3 500-250'!$P$36:$AA$43,"&lt;=" &amp; N8)+COUNTIFS('Null-3 500-250'!$P$47:$AA$54,"&gt;" &amp; M8,'Null-3 500-250'!$P$47:$AA$54,"&lt;=" &amp; N8)+COUNTIFS('Null-3 500-250'!$P$59:$AA$66,"&gt;" &amp; M8,'Null-3 500-250'!$P$59:$AA$66,"&lt;=" &amp; N8)+COUNTIFS('Null-3 125-250'!$P$3:$AA$10,"&gt;" &amp; M8,'Null-3 125-250'!$P$3:$AA$10,"&lt;=" &amp; N8)+COUNTIFS('Null-3 125-250'!$P$15:$AA$22,"&gt;" &amp; M8,'Null-3 125-250'!$P$15:$AA$22,"&lt;=" &amp; N8)+COUNTIFS('Null-3 125-250'!$P$27:$AA$34,"&gt;" &amp; M8,'Null-3 125-250'!$P$27:$AA$34,"&lt;=" &amp; N8)</f>
        <v>25</v>
      </c>
      <c r="P8" s="175"/>
      <c r="Q8" s="176">
        <v>100</v>
      </c>
      <c r="R8" s="176">
        <v>120</v>
      </c>
      <c r="S8" s="177">
        <f>COUNTIFS('Null-6 2000-500'!$P$3:$AA$10,"&gt;" &amp; Q8,'Null-6 2000-500'!$P$3:$AA$10,"&lt;=" &amp; R8)+COUNTIFS('Null-6 2000-500'!$P$15:$AA$22,"&gt;" &amp; Q8,'Null-6 2000-500'!$P$15:$AA$22,"&lt;=" &amp; R8)+COUNTIFS('Null-6 500-250'!$P$3:$AA$10,"&gt;" &amp; Q8,'Null-6 500-250'!$P$3:$AA$10,"&lt;=" &amp; R8)+COUNTIFS('Null-6 500-250'!$P$15:$AA$22,"&gt;" &amp; Q8,'Null-6 500-250'!$P$15:$AA$22,"&lt;=" &amp; R8)+COUNTIFS('Null-6 250-125'!$P$3:$AA$10,"&gt;" &amp; Q8,'Null-6 250-125'!$P$3:$AA$10,"&lt;=" &amp; R8)+COUNTIFS('Null-6 250-125'!$P$16:$AA$23,"&gt;" &amp; Q8,'Null-6 250-125'!$P$16:$AA$23,"&lt;=" &amp; R8)+COUNTIFS('Null-6 250-125'!$P$29:$AA$36,"&gt;" &amp; Q8,'Null-6 250-125'!$P$29:$AA$36,"&lt;=" &amp; R8)</f>
        <v>4</v>
      </c>
      <c r="T8" s="175"/>
      <c r="U8" s="176">
        <v>100</v>
      </c>
      <c r="V8" s="176">
        <v>120</v>
      </c>
      <c r="W8" s="177">
        <f>COUNTIFS('Null-10'!$P$3:$AA$10,"&gt;" &amp; U8,'Null-10'!$P$3:$AA$10,"&lt;=" &amp; V8)+COUNTIFS('Null-10'!$P$16:$AA$23,"&gt;" &amp; U8,'Null-10'!$P$16:$AA$23,"&lt;=" &amp; V8)+COUNTIFS('Null-10'!$P$27:$AA$34,"&gt;" &amp; U8,'Null-10'!$P$27:$AA$34,"&lt;=" &amp; V8)+COUNTIFS('Null-10'!$P$38:$AA$45,"&gt;" &amp; U8,'Null-10'!$P$38:$AA$45,"&lt;=" &amp; V8)+COUNTIFS('Null-10'!$P$49:$AA$56,"&gt;" &amp; U8,'Null-10'!$P$49:$AA$56,"&lt;=" &amp; V8)+COUNTIFS('Null-10'!$P$60:$AA$67,"&gt;" &amp; U8,'Null-10'!$P$60:$AA$67,"&lt;=" &amp; V8)+COUNTIFS('Null-10'!$P$71:$AA$78,"&gt;" &amp; U8,'Null-10'!$P$71:$AA$78,"&lt;=" &amp; V8)+COUNTIFS('Null-10'!$P$83:$AA$90,"&gt;" &amp; U8,'Null-10'!$P$83:$AA$90,"&lt;=" &amp; V8)+COUNTIFS('Null-10'!$P$94:$AA$101,"&gt;" &amp; U8,'Null-10'!$P$94:$AA$101,"&lt;=" &amp; V8)</f>
        <v>19</v>
      </c>
      <c r="X8" s="175"/>
      <c r="Y8" s="176">
        <v>100</v>
      </c>
      <c r="Z8" s="176">
        <v>120</v>
      </c>
      <c r="AA8" s="177">
        <f>COUNTIFS('Null-12 2000-500'!$P$3:$AA$10,"&gt;" &amp; Y8,'Null-12 2000-500'!$P$3:$AA$10,"&lt;=" &amp; Z8)+COUNTIFS('Null-12 500-250'!$P$15:$AA$22,"&gt;" &amp;Y8,'Null-12 500-250'!$P$15:$AA$22,"&lt;=" &amp; Z8)+COUNTIFS('Null-12 500-250'!$P$27:$AA$34,"&gt;" &amp; Y8,'Null-12 500-250'!$P$27:$AA$34,"&lt;=" &amp; Z8)+COUNTIFS('Null-12 500-250'!$P$3:$AA$10,"&gt;" &amp; Y8,'Null-12 500-250'!$P$3:$AA$10,"&lt;=" &amp; Z8)+COUNTIFS('EXP 12 250-125 redo'!$P$3:$AA$10,"&gt;" &amp; Y8,'EXP 12 250-125 redo'!$P$3:$AA$10,"&lt;=" &amp; Z8)</f>
        <v>46</v>
      </c>
      <c r="AB8" s="175"/>
      <c r="AC8" s="176">
        <v>100</v>
      </c>
      <c r="AD8" s="176">
        <v>120</v>
      </c>
      <c r="AE8" s="177" t="e">
        <f t="shared" si="0"/>
        <v>#REF!</v>
      </c>
      <c r="AF8" s="182" t="s">
        <v>663</v>
      </c>
    </row>
    <row r="9" spans="1:32">
      <c r="A9" s="173">
        <v>120</v>
      </c>
      <c r="B9" s="173">
        <v>140</v>
      </c>
      <c r="C9" s="174">
        <f>COUNTIFS('Null-1a (Crack) 2000-500'!$P$3:$AA$10,"&gt;" &amp; A9,'Null-1a (Crack) 2000-500'!$P$3:$AA$10,"&lt;=" &amp; B9)+COUNTIFS('Null-1a (Crack) 500-250'!$P$3:$AA$10,"&gt;" &amp; A9,'Null-1a (Crack) 500-250'!$P$3:$AA$10,"&lt;=" &amp; B9)+COUNTIFS('Null-1a (Crack) 500-250'!$P$15:$AA$22,"&gt;" &amp; A9,'Null-1a (Crack) 500-250'!$P$15:$AA$22,"&lt;=" &amp; B9)+COUNTIFS('Null-1a (Crack) 250-125'!$P$3:AA$10,"&gt;" &amp; A9,'Null-1a (Crack) 250-125'!$P$3:$AA$10,"&lt;=" &amp; B9)</f>
        <v>2</v>
      </c>
      <c r="D9" s="175"/>
      <c r="E9" s="176">
        <v>120</v>
      </c>
      <c r="F9" s="176">
        <v>140</v>
      </c>
      <c r="G9" s="177" t="e">
        <f>COUNTIFS(#REF!,"&gt;" &amp; E9,#REF!,"&lt;=" &amp; F9)+COUNTIFS('Null-1b (Bowl) 500-250'!$P$3:$AA$10,"&gt;" &amp; E9,'Null-1b (Bowl) 500-250'!$P$3:$AA$10,"&lt;=" &amp; F9)+COUNTIFS('Null-1b (Bowl) 500-250'!$P$15:$AA$22,"&gt;" &amp; E9,'Null-1b (Bowl) 500-250'!$P$15:$AA$22,"&lt;=" &amp; F9)+COUNTIFS('Null-1b (Bowl) 500-250'!$P$27:$AA$34,"&gt;" &amp; E9,'Null-1b (Bowl) 500-250'!$P$27:$AA$34,"&lt;=" &amp; F9)+COUNTIFS('Null-1b (Bowl) 250-125'!$P$3:$AA$10,"&gt;" &amp; E9,'Null-1b (Bowl) 250-125'!$P$3:$AA$10,"&lt;=" &amp; F9)+COUNTIFS('Null-1b (Bowl) 250-125'!$P$14:$AA$21,"&gt;" &amp; E9,'Null-1b (Bowl) 250-125'!$P$14:$AA$21,"&lt;=" &amp; F9)+COUNTIFS('Null-1b (Bowl) 250-125'!$P$25:$AA$32,"&gt;" &amp; E9,'Null-1b (Bowl) 250-125'!$P$25:$AA$32,"&lt;=" &amp; F9)+COUNTIFS('Null-1b (Bowl) 250-125'!$P$36:$AA$43,"&gt;" &amp; E9,'Null-1b (Bowl) 250-125'!$P$36:$AA$43,"&lt;=" &amp; F9)</f>
        <v>#REF!</v>
      </c>
      <c r="H9" s="175"/>
      <c r="I9" s="176">
        <v>120</v>
      </c>
      <c r="J9" s="176">
        <v>140</v>
      </c>
      <c r="K9" s="179">
        <f>COUNTIFS('Null-1c (Control) 2000-250'!$P$3:$AA$10,"&gt;" &amp; I9,'Null-1c (Control) 2000-250'!$P$3:$AA$10,"&lt;=" &amp; J9)+COUNTIFS('Null-1c (Control) 250-125'!$P$3:$AA$10,"&gt;" &amp; I9,'Null-1c (Control) 250-125'!$P$3:$AA$10,"&lt;=" &amp; J9)+COUNTIFS('Null-1c (Control) 250-125'!$P$3:$AA$10,"&gt;" &amp; I9,'Null-1c (Control) 250-125'!$P$3:$AA$10,"&lt;=" &amp; J9)</f>
        <v>0</v>
      </c>
      <c r="L9" s="175"/>
      <c r="M9" s="176">
        <v>120</v>
      </c>
      <c r="N9" s="176">
        <v>140</v>
      </c>
      <c r="O9" s="177">
        <f>COUNTIFS('Null-3 2000-500'!$P$3:$AA$10,"&gt;" &amp; M9,'Null-3 2000-500'!$P$3:$AA$10,"&lt;=" &amp; N9)+COUNTIFS('Null-3 500-250'!$P$3:$AA$10,"&gt;" &amp; M9,'Null-3 500-250'!$P$3:$AA$10,"&lt;=" &amp; N9)+COUNTIFS('Null-3 500-250'!$P$14:$AA$21,"&gt;" &amp; M9,'Null-3 500-250'!$P$14:$AA$21,"&lt;=" &amp; N9)+COUNTIFS('Null-3 500-250'!$P$25:$AA$32,"&gt;" &amp; M9,'Null-3 500-250'!$P$25:$AA$32,"&lt;=" &amp; N9)+COUNTIFS('Null-3 500-250'!$P$36:$AA$43,"&gt;" &amp; M9,'Null-3 500-250'!$P$36:$AA$43,"&lt;=" &amp; N9)+COUNTIFS('Null-3 500-250'!$P$47:$AA$54,"&gt;" &amp; M9,'Null-3 500-250'!$P$47:$AA$54,"&lt;=" &amp; N9)+COUNTIFS('Null-3 500-250'!$P$59:$AA$66,"&gt;" &amp; M9,'Null-3 500-250'!$P$59:$AA$66,"&lt;=" &amp; N9)+COUNTIFS('Null-3 125-250'!$P$3:$AA$10,"&gt;" &amp; M9,'Null-3 125-250'!$P$3:$AA$10,"&lt;=" &amp; N9)+COUNTIFS('Null-3 125-250'!$P$15:$AA$22,"&gt;" &amp; M9,'Null-3 125-250'!$P$15:$AA$22,"&lt;=" &amp; N9)+COUNTIFS('Null-3 125-250'!$P$27:$AA$34,"&gt;" &amp; M9,'Null-3 125-250'!$P$27:$AA$34,"&lt;=" &amp; N9)</f>
        <v>33</v>
      </c>
      <c r="P9" s="175"/>
      <c r="Q9" s="176">
        <v>120</v>
      </c>
      <c r="R9" s="176">
        <v>140</v>
      </c>
      <c r="S9" s="177">
        <f>COUNTIFS('Null-6 2000-500'!$P$3:$AA$10,"&gt;" &amp; Q9,'Null-6 2000-500'!$P$3:$AA$10,"&lt;=" &amp; R9)+COUNTIFS('Null-6 2000-500'!$P$15:$AA$22,"&gt;" &amp; Q9,'Null-6 2000-500'!$P$15:$AA$22,"&lt;=" &amp; R9)+COUNTIFS('Null-6 500-250'!$P$3:$AA$10,"&gt;" &amp; Q9,'Null-6 500-250'!$P$3:$AA$10,"&lt;=" &amp; R9)+COUNTIFS('Null-6 500-250'!$P$15:$AA$22,"&gt;" &amp; Q9,'Null-6 500-250'!$P$15:$AA$22,"&lt;=" &amp; R9)+COUNTIFS('Null-6 250-125'!$P$3:$AA$10,"&gt;" &amp; Q9,'Null-6 250-125'!$P$3:$AA$10,"&lt;=" &amp; R9)+COUNTIFS('Null-6 250-125'!$P$16:$AA$23,"&gt;" &amp; Q9,'Null-6 250-125'!$P$16:$AA$23,"&lt;=" &amp; R9)+COUNTIFS('Null-6 250-125'!$P$29:$AA$36,"&gt;" &amp; Q9,'Null-6 250-125'!$P$29:$AA$36,"&lt;=" &amp; R9)</f>
        <v>5</v>
      </c>
      <c r="T9" s="175"/>
      <c r="U9" s="176">
        <v>120</v>
      </c>
      <c r="V9" s="176">
        <v>140</v>
      </c>
      <c r="W9" s="177">
        <f>COUNTIFS('Null-10'!$P$3:$AA$10,"&gt;" &amp; U9,'Null-10'!$P$3:$AA$10,"&lt;=" &amp; V9)+COUNTIFS('Null-10'!$P$16:$AA$23,"&gt;" &amp; U9,'Null-10'!$P$16:$AA$23,"&lt;=" &amp; V9)+COUNTIFS('Null-10'!$P$27:$AA$34,"&gt;" &amp; U9,'Null-10'!$P$27:$AA$34,"&lt;=" &amp; V9)+COUNTIFS('Null-10'!$P$38:$AA$45,"&gt;" &amp; U9,'Null-10'!$P$38:$AA$45,"&lt;=" &amp; V9)+COUNTIFS('Null-10'!$P$49:$AA$56,"&gt;" &amp; U9,'Null-10'!$P$49:$AA$56,"&lt;=" &amp; V9)+COUNTIFS('Null-10'!$P$60:$AA$67,"&gt;" &amp; U9,'Null-10'!$P$60:$AA$67,"&lt;=" &amp; V9)+COUNTIFS('Null-10'!$P$71:$AA$78,"&gt;" &amp; U9,'Null-10'!$P$71:$AA$78,"&lt;=" &amp; V9)+COUNTIFS('Null-10'!$P$83:$AA$90,"&gt;" &amp; U9,'Null-10'!$P$83:$AA$90,"&lt;=" &amp; V9)+COUNTIFS('Null-10'!$P$94:$AA$101,"&gt;" &amp; U9,'Null-10'!$P$94:$AA$101,"&lt;=" &amp; V9)</f>
        <v>28</v>
      </c>
      <c r="X9" s="175"/>
      <c r="Y9" s="176">
        <v>120</v>
      </c>
      <c r="Z9" s="176">
        <v>140</v>
      </c>
      <c r="AA9" s="177">
        <f>COUNTIFS('Null-12 2000-500'!$P$3:$AA$10,"&gt;" &amp; Y9,'Null-12 2000-500'!$P$3:$AA$10,"&lt;=" &amp; Z9)+COUNTIFS('Null-12 500-250'!$P$15:$AA$22,"&gt;" &amp;Y9,'Null-12 500-250'!$P$15:$AA$22,"&lt;=" &amp; Z9)+COUNTIFS('Null-12 500-250'!$P$27:$AA$34,"&gt;" &amp; Y9,'Null-12 500-250'!$P$27:$AA$34,"&lt;=" &amp; Z9)+COUNTIFS('Null-12 500-250'!$P$3:$AA$10,"&gt;" &amp; Y9,'Null-12 500-250'!$P$3:$AA$10,"&lt;=" &amp; Z9)+COUNTIFS('EXP 12 250-125 redo'!$P$3:$AA$10,"&gt;" &amp; Y9,'EXP 12 250-125 redo'!$P$3:$AA$10,"&lt;=" &amp; Z9)</f>
        <v>34</v>
      </c>
      <c r="AB9" s="175"/>
      <c r="AC9" s="176">
        <v>120</v>
      </c>
      <c r="AD9" s="176">
        <v>140</v>
      </c>
      <c r="AE9" s="177" t="e">
        <f t="shared" si="0"/>
        <v>#REF!</v>
      </c>
      <c r="AF9" s="182" t="s">
        <v>664</v>
      </c>
    </row>
    <row r="10" spans="1:32">
      <c r="A10" s="173">
        <v>140</v>
      </c>
      <c r="B10" s="173">
        <v>160</v>
      </c>
      <c r="C10" s="174">
        <f>COUNTIFS('Null-1a (Crack) 2000-500'!$P$3:$AA$10,"&gt;" &amp; A10,'Null-1a (Crack) 2000-500'!$P$3:$AA$10,"&lt;=" &amp; B10)+COUNTIFS('Null-1a (Crack) 500-250'!$P$3:$AA$10,"&gt;" &amp; A10,'Null-1a (Crack) 500-250'!$P$3:$AA$10,"&lt;=" &amp; B10)+COUNTIFS('Null-1a (Crack) 500-250'!$P$15:$AA$22,"&gt;" &amp; A10,'Null-1a (Crack) 500-250'!$P$15:$AA$22,"&lt;=" &amp; B10)+COUNTIFS('Null-1a (Crack) 250-125'!$P$3:AA$10,"&gt;" &amp; A10,'Null-1a (Crack) 250-125'!$P$3:$AA$10,"&lt;=" &amp; B10)</f>
        <v>3</v>
      </c>
      <c r="D10" s="175"/>
      <c r="E10" s="176">
        <v>140</v>
      </c>
      <c r="F10" s="176">
        <v>160</v>
      </c>
      <c r="G10" s="177" t="e">
        <f>COUNTIFS(#REF!,"&gt;" &amp; E10,#REF!,"&lt;=" &amp; F10)+COUNTIFS('Null-1b (Bowl) 500-250'!$P$3:$AA$10,"&gt;" &amp; E10,'Null-1b (Bowl) 500-250'!$P$3:$AA$10,"&lt;=" &amp; F10)+COUNTIFS('Null-1b (Bowl) 500-250'!$P$15:$AA$22,"&gt;" &amp; E10,'Null-1b (Bowl) 500-250'!$P$15:$AA$22,"&lt;=" &amp; F10)+COUNTIFS('Null-1b (Bowl) 500-250'!$P$27:$AA$34,"&gt;" &amp; E10,'Null-1b (Bowl) 500-250'!$P$27:$AA$34,"&lt;=" &amp; F10)+COUNTIFS('Null-1b (Bowl) 250-125'!$P$3:$AA$10,"&gt;" &amp; E10,'Null-1b (Bowl) 250-125'!$P$3:$AA$10,"&lt;=" &amp; F10)+COUNTIFS('Null-1b (Bowl) 250-125'!$P$14:$AA$21,"&gt;" &amp; E10,'Null-1b (Bowl) 250-125'!$P$14:$AA$21,"&lt;=" &amp; F10)+COUNTIFS('Null-1b (Bowl) 250-125'!$P$25:$AA$32,"&gt;" &amp; E10,'Null-1b (Bowl) 250-125'!$P$25:$AA$32,"&lt;=" &amp; F10)+COUNTIFS('Null-1b (Bowl) 250-125'!$P$36:$AA$43,"&gt;" &amp; E10,'Null-1b (Bowl) 250-125'!$P$36:$AA$43,"&lt;=" &amp; F10)</f>
        <v>#REF!</v>
      </c>
      <c r="H10" s="175"/>
      <c r="I10" s="176">
        <v>140</v>
      </c>
      <c r="J10" s="176">
        <v>160</v>
      </c>
      <c r="K10" s="179">
        <f>COUNTIFS('Null-1c (Control) 2000-250'!$P$3:$AA$10,"&gt;" &amp; I10,'Null-1c (Control) 2000-250'!$P$3:$AA$10,"&lt;=" &amp; J10)+COUNTIFS('Null-1c (Control) 250-125'!$P$3:$AA$10,"&gt;" &amp; I10,'Null-1c (Control) 250-125'!$P$3:$AA$10,"&lt;=" &amp; J10)+COUNTIFS('Null-1c (Control) 250-125'!$P$3:$AA$10,"&gt;" &amp; I10,'Null-1c (Control) 250-125'!$P$3:$AA$10,"&lt;=" &amp; J10)</f>
        <v>4</v>
      </c>
      <c r="L10" s="175"/>
      <c r="M10" s="176">
        <v>140</v>
      </c>
      <c r="N10" s="176">
        <v>160</v>
      </c>
      <c r="O10" s="177">
        <f>COUNTIFS('Null-3 2000-500'!$P$3:$AA$10,"&gt;" &amp; M10,'Null-3 2000-500'!$P$3:$AA$10,"&lt;=" &amp; N10)+COUNTIFS('Null-3 500-250'!$P$3:$AA$10,"&gt;" &amp; M10,'Null-3 500-250'!$P$3:$AA$10,"&lt;=" &amp; N10)+COUNTIFS('Null-3 500-250'!$P$14:$AA$21,"&gt;" &amp; M10,'Null-3 500-250'!$P$14:$AA$21,"&lt;=" &amp; N10)+COUNTIFS('Null-3 500-250'!$P$25:$AA$32,"&gt;" &amp; M10,'Null-3 500-250'!$P$25:$AA$32,"&lt;=" &amp; N10)+COUNTIFS('Null-3 500-250'!$P$36:$AA$43,"&gt;" &amp; M10,'Null-3 500-250'!$P$36:$AA$43,"&lt;=" &amp; N10)+COUNTIFS('Null-3 500-250'!$P$47:$AA$54,"&gt;" &amp; M10,'Null-3 500-250'!$P$47:$AA$54,"&lt;=" &amp; N10)+COUNTIFS('Null-3 500-250'!$P$59:$AA$66,"&gt;" &amp; M10,'Null-3 500-250'!$P$59:$AA$66,"&lt;=" &amp; N10)+COUNTIFS('Null-3 125-250'!$P$3:$AA$10,"&gt;" &amp; M10,'Null-3 125-250'!$P$3:$AA$10,"&lt;=" &amp; N10)+COUNTIFS('Null-3 125-250'!$P$15:$AA$22,"&gt;" &amp; M10,'Null-3 125-250'!$P$15:$AA$22,"&lt;=" &amp; N10)+COUNTIFS('Null-3 125-250'!$P$27:$AA$34,"&gt;" &amp; M10,'Null-3 125-250'!$P$27:$AA$34,"&lt;=" &amp; N10)</f>
        <v>31</v>
      </c>
      <c r="P10" s="175"/>
      <c r="Q10" s="176">
        <v>140</v>
      </c>
      <c r="R10" s="176">
        <v>160</v>
      </c>
      <c r="S10" s="177">
        <f>COUNTIFS('Null-6 2000-500'!$P$3:$AA$10,"&gt;" &amp; Q10,'Null-6 2000-500'!$P$3:$AA$10,"&lt;=" &amp; R10)+COUNTIFS('Null-6 2000-500'!$P$15:$AA$22,"&gt;" &amp; Q10,'Null-6 2000-500'!$P$15:$AA$22,"&lt;=" &amp; R10)+COUNTIFS('Null-6 500-250'!$P$3:$AA$10,"&gt;" &amp; Q10,'Null-6 500-250'!$P$3:$AA$10,"&lt;=" &amp; R10)+COUNTIFS('Null-6 500-250'!$P$15:$AA$22,"&gt;" &amp; Q10,'Null-6 500-250'!$P$15:$AA$22,"&lt;=" &amp; R10)+COUNTIFS('Null-6 250-125'!$P$3:$AA$10,"&gt;" &amp; Q10,'Null-6 250-125'!$P$3:$AA$10,"&lt;=" &amp; R10)+COUNTIFS('Null-6 250-125'!$P$16:$AA$23,"&gt;" &amp; Q10,'Null-6 250-125'!$P$16:$AA$23,"&lt;=" &amp; R10)+COUNTIFS('Null-6 250-125'!$P$29:$AA$36,"&gt;" &amp; Q10,'Null-6 250-125'!$P$29:$AA$36,"&lt;=" &amp; R10)</f>
        <v>7</v>
      </c>
      <c r="T10" s="175"/>
      <c r="U10" s="176">
        <v>140</v>
      </c>
      <c r="V10" s="176">
        <v>160</v>
      </c>
      <c r="W10" s="177">
        <f>COUNTIFS('Null-10'!$P$3:$AA$10,"&gt;" &amp; U10,'Null-10'!$P$3:$AA$10,"&lt;=" &amp; V10)+COUNTIFS('Null-10'!$P$16:$AA$23,"&gt;" &amp; U10,'Null-10'!$P$16:$AA$23,"&lt;=" &amp; V10)+COUNTIFS('Null-10'!$P$27:$AA$34,"&gt;" &amp; U10,'Null-10'!$P$27:$AA$34,"&lt;=" &amp; V10)+COUNTIFS('Null-10'!$P$38:$AA$45,"&gt;" &amp; U10,'Null-10'!$P$38:$AA$45,"&lt;=" &amp; V10)+COUNTIFS('Null-10'!$P$49:$AA$56,"&gt;" &amp; U10,'Null-10'!$P$49:$AA$56,"&lt;=" &amp; V10)+COUNTIFS('Null-10'!$P$60:$AA$67,"&gt;" &amp; U10,'Null-10'!$P$60:$AA$67,"&lt;=" &amp; V10)+COUNTIFS('Null-10'!$P$71:$AA$78,"&gt;" &amp; U10,'Null-10'!$P$71:$AA$78,"&lt;=" &amp; V10)+COUNTIFS('Null-10'!$P$83:$AA$90,"&gt;" &amp; U10,'Null-10'!$P$83:$AA$90,"&lt;=" &amp; V10)+COUNTIFS('Null-10'!$P$94:$AA$101,"&gt;" &amp; U10,'Null-10'!$P$94:$AA$101,"&lt;=" &amp; V10)</f>
        <v>36</v>
      </c>
      <c r="X10" s="175"/>
      <c r="Y10" s="176">
        <v>140</v>
      </c>
      <c r="Z10" s="176">
        <v>160</v>
      </c>
      <c r="AA10" s="177">
        <f>COUNTIFS('Null-12 2000-500'!$P$3:$AA$10,"&gt;" &amp; Y10,'Null-12 2000-500'!$P$3:$AA$10,"&lt;=" &amp; Z10)+COUNTIFS('Null-12 500-250'!$P$15:$AA$22,"&gt;" &amp;Y10,'Null-12 500-250'!$P$15:$AA$22,"&lt;=" &amp; Z10)+COUNTIFS('Null-12 500-250'!$P$27:$AA$34,"&gt;" &amp; Y10,'Null-12 500-250'!$P$27:$AA$34,"&lt;=" &amp; Z10)+COUNTIFS('Null-12 500-250'!$P$3:$AA$10,"&gt;" &amp; Y10,'Null-12 500-250'!$P$3:$AA$10,"&lt;=" &amp; Z10)+COUNTIFS('EXP 12 250-125 redo'!$P$3:$AA$10,"&gt;" &amp; Y10,'EXP 12 250-125 redo'!$P$3:$AA$10,"&lt;=" &amp; Z10)</f>
        <v>30</v>
      </c>
      <c r="AB10" s="175"/>
      <c r="AC10" s="176">
        <v>140</v>
      </c>
      <c r="AD10" s="176">
        <v>160</v>
      </c>
      <c r="AE10" s="177" t="e">
        <f t="shared" si="0"/>
        <v>#REF!</v>
      </c>
      <c r="AF10" s="182" t="s">
        <v>665</v>
      </c>
    </row>
    <row r="11" spans="1:32">
      <c r="A11" s="173">
        <v>160</v>
      </c>
      <c r="B11" s="173">
        <v>180</v>
      </c>
      <c r="C11" s="174">
        <f>COUNTIFS('Null-1a (Crack) 2000-500'!$P$3:$AA$10,"&gt;" &amp; A11,'Null-1a (Crack) 2000-500'!$P$3:$AA$10,"&lt;=" &amp; B11)+COUNTIFS('Null-1a (Crack) 500-250'!$P$3:$AA$10,"&gt;" &amp; A11,'Null-1a (Crack) 500-250'!$P$3:$AA$10,"&lt;=" &amp; B11)+COUNTIFS('Null-1a (Crack) 500-250'!$P$15:$AA$22,"&gt;" &amp; A11,'Null-1a (Crack) 500-250'!$P$15:$AA$22,"&lt;=" &amp; B11)+COUNTIFS('Null-1a (Crack) 250-125'!$P$3:AA$10,"&gt;" &amp; A11,'Null-1a (Crack) 250-125'!$P$3:$AA$10,"&lt;=" &amp; B11)</f>
        <v>1</v>
      </c>
      <c r="D11" s="175"/>
      <c r="E11" s="176">
        <v>160</v>
      </c>
      <c r="F11" s="176">
        <v>180</v>
      </c>
      <c r="G11" s="177" t="e">
        <f>COUNTIFS(#REF!,"&gt;" &amp; E11,#REF!,"&lt;=" &amp; F11)+COUNTIFS('Null-1b (Bowl) 500-250'!$P$3:$AA$10,"&gt;" &amp; E11,'Null-1b (Bowl) 500-250'!$P$3:$AA$10,"&lt;=" &amp; F11)+COUNTIFS('Null-1b (Bowl) 500-250'!$P$15:$AA$22,"&gt;" &amp; E11,'Null-1b (Bowl) 500-250'!$P$15:$AA$22,"&lt;=" &amp; F11)+COUNTIFS('Null-1b (Bowl) 500-250'!$P$27:$AA$34,"&gt;" &amp; E11,'Null-1b (Bowl) 500-250'!$P$27:$AA$34,"&lt;=" &amp; F11)+COUNTIFS('Null-1b (Bowl) 250-125'!$P$3:$AA$10,"&gt;" &amp; E11,'Null-1b (Bowl) 250-125'!$P$3:$AA$10,"&lt;=" &amp; F11)+COUNTIFS('Null-1b (Bowl) 250-125'!$P$14:$AA$21,"&gt;" &amp; E11,'Null-1b (Bowl) 250-125'!$P$14:$AA$21,"&lt;=" &amp; F11)+COUNTIFS('Null-1b (Bowl) 250-125'!$P$25:$AA$32,"&gt;" &amp; E11,'Null-1b (Bowl) 250-125'!$P$25:$AA$32,"&lt;=" &amp; F11)+COUNTIFS('Null-1b (Bowl) 250-125'!$P$36:$AA$43,"&gt;" &amp; E11,'Null-1b (Bowl) 250-125'!$P$36:$AA$43,"&lt;=" &amp; F11)</f>
        <v>#REF!</v>
      </c>
      <c r="H11" s="175"/>
      <c r="I11" s="178">
        <v>160</v>
      </c>
      <c r="J11" s="181">
        <v>180</v>
      </c>
      <c r="K11" s="179">
        <f>COUNTIFS('Null-1c (Control) 2000-250'!$P$3:$AA$10,"&gt;" &amp; I11,'Null-1c (Control) 2000-250'!$P$3:$AA$10,"&lt;=" &amp; J11)+COUNTIFS('Null-1c (Control) 250-125'!$P$3:$AA$10,"&gt;" &amp; I11,'Null-1c (Control) 250-125'!$P$3:$AA$10,"&lt;=" &amp; J11)+COUNTIFS('Null-1c (Control) 250-125'!$P$3:$AA$10,"&gt;" &amp; I11,'Null-1c (Control) 250-125'!$P$3:$AA$10,"&lt;=" &amp; J11)</f>
        <v>0</v>
      </c>
      <c r="L11" s="180"/>
      <c r="M11" s="181">
        <v>160</v>
      </c>
      <c r="N11" s="176">
        <v>180</v>
      </c>
      <c r="O11" s="177">
        <f>COUNTIFS('Null-3 2000-500'!$P$3:$AA$10,"&gt;" &amp; M11,'Null-3 2000-500'!$P$3:$AA$10,"&lt;=" &amp; N11)+COUNTIFS('Null-3 500-250'!$P$3:$AA$10,"&gt;" &amp; M11,'Null-3 500-250'!$P$3:$AA$10,"&lt;=" &amp; N11)+COUNTIFS('Null-3 500-250'!$P$14:$AA$21,"&gt;" &amp; M11,'Null-3 500-250'!$P$14:$AA$21,"&lt;=" &amp; N11)+COUNTIFS('Null-3 500-250'!$P$25:$AA$32,"&gt;" &amp; M11,'Null-3 500-250'!$P$25:$AA$32,"&lt;=" &amp; N11)+COUNTIFS('Null-3 500-250'!$P$36:$AA$43,"&gt;" &amp; M11,'Null-3 500-250'!$P$36:$AA$43,"&lt;=" &amp; N11)+COUNTIFS('Null-3 500-250'!$P$47:$AA$54,"&gt;" &amp; M11,'Null-3 500-250'!$P$47:$AA$54,"&lt;=" &amp; N11)+COUNTIFS('Null-3 500-250'!$P$59:$AA$66,"&gt;" &amp; M11,'Null-3 500-250'!$P$59:$AA$66,"&lt;=" &amp; N11)+COUNTIFS('Null-3 125-250'!$P$3:$AA$10,"&gt;" &amp; M11,'Null-3 125-250'!$P$3:$AA$10,"&lt;=" &amp; N11)+COUNTIFS('Null-3 125-250'!$P$15:$AA$22,"&gt;" &amp; M11,'Null-3 125-250'!$P$15:$AA$22,"&lt;=" &amp; N11)+COUNTIFS('Null-3 125-250'!$P$27:$AA$34,"&gt;" &amp; M11,'Null-3 125-250'!$P$27:$AA$34,"&lt;=" &amp; N11)</f>
        <v>24</v>
      </c>
      <c r="P11" s="175"/>
      <c r="Q11" s="176">
        <v>160</v>
      </c>
      <c r="R11" s="176">
        <v>180</v>
      </c>
      <c r="S11" s="177">
        <f>COUNTIFS('Null-6 2000-500'!$P$3:$AA$10,"&gt;" &amp; Q11,'Null-6 2000-500'!$P$3:$AA$10,"&lt;=" &amp; R11)+COUNTIFS('Null-6 2000-500'!$P$15:$AA$22,"&gt;" &amp; Q11,'Null-6 2000-500'!$P$15:$AA$22,"&lt;=" &amp; R11)+COUNTIFS('Null-6 500-250'!$P$3:$AA$10,"&gt;" &amp; Q11,'Null-6 500-250'!$P$3:$AA$10,"&lt;=" &amp; R11)+COUNTIFS('Null-6 500-250'!$P$15:$AA$22,"&gt;" &amp; Q11,'Null-6 500-250'!$P$15:$AA$22,"&lt;=" &amp; R11)+COUNTIFS('Null-6 250-125'!$P$3:$AA$10,"&gt;" &amp; Q11,'Null-6 250-125'!$P$3:$AA$10,"&lt;=" &amp; R11)+COUNTIFS('Null-6 250-125'!$P$16:$AA$23,"&gt;" &amp; Q11,'Null-6 250-125'!$P$16:$AA$23,"&lt;=" &amp; R11)+COUNTIFS('Null-6 250-125'!$P$29:$AA$36,"&gt;" &amp; Q11,'Null-6 250-125'!$P$29:$AA$36,"&lt;=" &amp; R11)</f>
        <v>3</v>
      </c>
      <c r="T11" s="175"/>
      <c r="U11" s="176">
        <v>160</v>
      </c>
      <c r="V11" s="176">
        <v>180</v>
      </c>
      <c r="W11" s="177">
        <f>COUNTIFS('Null-10'!$P$3:$AA$10,"&gt;" &amp; U11,'Null-10'!$P$3:$AA$10,"&lt;=" &amp; V11)+COUNTIFS('Null-10'!$P$16:$AA$23,"&gt;" &amp; U11,'Null-10'!$P$16:$AA$23,"&lt;=" &amp; V11)+COUNTIFS('Null-10'!$P$27:$AA$34,"&gt;" &amp; U11,'Null-10'!$P$27:$AA$34,"&lt;=" &amp; V11)+COUNTIFS('Null-10'!$P$38:$AA$45,"&gt;" &amp; U11,'Null-10'!$P$38:$AA$45,"&lt;=" &amp; V11)+COUNTIFS('Null-10'!$P$49:$AA$56,"&gt;" &amp; U11,'Null-10'!$P$49:$AA$56,"&lt;=" &amp; V11)+COUNTIFS('Null-10'!$P$60:$AA$67,"&gt;" &amp; U11,'Null-10'!$P$60:$AA$67,"&lt;=" &amp; V11)+COUNTIFS('Null-10'!$P$71:$AA$78,"&gt;" &amp; U11,'Null-10'!$P$71:$AA$78,"&lt;=" &amp; V11)+COUNTIFS('Null-10'!$P$83:$AA$90,"&gt;" &amp; U11,'Null-10'!$P$83:$AA$90,"&lt;=" &amp; V11)+COUNTIFS('Null-10'!$P$94:$AA$101,"&gt;" &amp; U11,'Null-10'!$P$94:$AA$101,"&lt;=" &amp; V11)</f>
        <v>43</v>
      </c>
      <c r="X11" s="175"/>
      <c r="Y11" s="176">
        <v>160</v>
      </c>
      <c r="Z11" s="176">
        <v>180</v>
      </c>
      <c r="AA11" s="177">
        <f>COUNTIFS('Null-12 2000-500'!$P$3:$AA$10,"&gt;" &amp; Y11,'Null-12 2000-500'!$P$3:$AA$10,"&lt;=" &amp; Z11)+COUNTIFS('Null-12 500-250'!$P$15:$AA$22,"&gt;" &amp;Y11,'Null-12 500-250'!$P$15:$AA$22,"&lt;=" &amp; Z11)+COUNTIFS('Null-12 500-250'!$P$27:$AA$34,"&gt;" &amp; Y11,'Null-12 500-250'!$P$27:$AA$34,"&lt;=" &amp; Z11)+COUNTIFS('Null-12 500-250'!$P$3:$AA$10,"&gt;" &amp; Y11,'Null-12 500-250'!$P$3:$AA$10,"&lt;=" &amp; Z11)+COUNTIFS('EXP 12 250-125 redo'!$P$3:$AA$10,"&gt;" &amp; Y11,'EXP 12 250-125 redo'!$P$3:$AA$10,"&lt;=" &amp; Z11)</f>
        <v>15</v>
      </c>
      <c r="AB11" s="175"/>
      <c r="AC11" s="176">
        <v>160</v>
      </c>
      <c r="AD11" s="176">
        <v>180</v>
      </c>
      <c r="AE11" s="177" t="e">
        <f t="shared" si="0"/>
        <v>#REF!</v>
      </c>
      <c r="AF11" s="182" t="s">
        <v>666</v>
      </c>
    </row>
    <row r="12" spans="1:32">
      <c r="A12" s="173">
        <v>180</v>
      </c>
      <c r="B12" s="173">
        <v>200</v>
      </c>
      <c r="C12" s="174">
        <f>COUNTIFS('Null-1a (Crack) 2000-500'!$P$3:$AA$10,"&gt;" &amp; A12,'Null-1a (Crack) 2000-500'!$P$3:$AA$10,"&lt;=" &amp; B12)+COUNTIFS('Null-1a (Crack) 500-250'!$P$3:$AA$10,"&gt;" &amp; A12,'Null-1a (Crack) 500-250'!$P$3:$AA$10,"&lt;=" &amp; B12)+COUNTIFS('Null-1a (Crack) 500-250'!$P$15:$AA$22,"&gt;" &amp; A12,'Null-1a (Crack) 500-250'!$P$15:$AA$22,"&lt;=" &amp; B12)+COUNTIFS('Null-1a (Crack) 250-125'!$P$3:AA$10,"&gt;" &amp; A12,'Null-1a (Crack) 250-125'!$P$3:$AA$10,"&lt;=" &amp; B12)</f>
        <v>1</v>
      </c>
      <c r="D12" s="175"/>
      <c r="E12" s="176">
        <v>180</v>
      </c>
      <c r="F12" s="176">
        <v>200</v>
      </c>
      <c r="G12" s="177" t="e">
        <f>COUNTIFS(#REF!,"&gt;" &amp; E12,#REF!,"&lt;=" &amp; F12)+COUNTIFS('Null-1b (Bowl) 500-250'!$P$3:$AA$10,"&gt;" &amp; E12,'Null-1b (Bowl) 500-250'!$P$3:$AA$10,"&lt;=" &amp; F12)+COUNTIFS('Null-1b (Bowl) 500-250'!$P$15:$AA$22,"&gt;" &amp; E12,'Null-1b (Bowl) 500-250'!$P$15:$AA$22,"&lt;=" &amp; F12)+COUNTIFS('Null-1b (Bowl) 500-250'!$P$27:$AA$34,"&gt;" &amp; E12,'Null-1b (Bowl) 500-250'!$P$27:$AA$34,"&lt;=" &amp; F12)+COUNTIFS('Null-1b (Bowl) 250-125'!$P$3:$AA$10,"&gt;" &amp; E12,'Null-1b (Bowl) 250-125'!$P$3:$AA$10,"&lt;=" &amp; F12)+COUNTIFS('Null-1b (Bowl) 250-125'!$P$14:$AA$21,"&gt;" &amp; E12,'Null-1b (Bowl) 250-125'!$P$14:$AA$21,"&lt;=" &amp; F12)+COUNTIFS('Null-1b (Bowl) 250-125'!$P$25:$AA$32,"&gt;" &amp; E12,'Null-1b (Bowl) 250-125'!$P$25:$AA$32,"&lt;=" &amp; F12)+COUNTIFS('Null-1b (Bowl) 250-125'!$P$36:$AA$43,"&gt;" &amp; E12,'Null-1b (Bowl) 250-125'!$P$36:$AA$43,"&lt;=" &amp; F12)</f>
        <v>#REF!</v>
      </c>
      <c r="H12" s="175"/>
      <c r="I12" s="178">
        <v>180</v>
      </c>
      <c r="J12" s="178">
        <v>200</v>
      </c>
      <c r="K12" s="179">
        <f>COUNTIFS('Null-1c (Control) 2000-250'!$P$3:$AA$10,"&gt;" &amp; I12,'Null-1c (Control) 2000-250'!$P$3:$AA$10,"&lt;=" &amp; J12)+COUNTIFS('Null-1c (Control) 250-125'!$P$3:$AA$10,"&gt;" &amp; I12,'Null-1c (Control) 250-125'!$P$3:$AA$10,"&lt;=" &amp; J12)+COUNTIFS('Null-1c (Control) 250-125'!$P$3:$AA$10,"&gt;" &amp; I12,'Null-1c (Control) 250-125'!$P$3:$AA$10,"&lt;=" &amp; J12)</f>
        <v>2</v>
      </c>
      <c r="L12" s="183"/>
      <c r="M12" s="178">
        <v>180</v>
      </c>
      <c r="N12" s="176">
        <v>200</v>
      </c>
      <c r="O12" s="177">
        <f>COUNTIFS('Null-3 2000-500'!$P$3:$AA$10,"&gt;" &amp; M12,'Null-3 2000-500'!$P$3:$AA$10,"&lt;=" &amp; N12)+COUNTIFS('Null-3 500-250'!$P$3:$AA$10,"&gt;" &amp; M12,'Null-3 500-250'!$P$3:$AA$10,"&lt;=" &amp; N12)+COUNTIFS('Null-3 500-250'!$P$14:$AA$21,"&gt;" &amp; M12,'Null-3 500-250'!$P$14:$AA$21,"&lt;=" &amp; N12)+COUNTIFS('Null-3 500-250'!$P$25:$AA$32,"&gt;" &amp; M12,'Null-3 500-250'!$P$25:$AA$32,"&lt;=" &amp; N12)+COUNTIFS('Null-3 500-250'!$P$36:$AA$43,"&gt;" &amp; M12,'Null-3 500-250'!$P$36:$AA$43,"&lt;=" &amp; N12)+COUNTIFS('Null-3 500-250'!$P$47:$AA$54,"&gt;" &amp; M12,'Null-3 500-250'!$P$47:$AA$54,"&lt;=" &amp; N12)+COUNTIFS('Null-3 500-250'!$P$59:$AA$66,"&gt;" &amp; M12,'Null-3 500-250'!$P$59:$AA$66,"&lt;=" &amp; N12)+COUNTIFS('Null-3 125-250'!$P$3:$AA$10,"&gt;" &amp; M12,'Null-3 125-250'!$P$3:$AA$10,"&lt;=" &amp; N12)+COUNTIFS('Null-3 125-250'!$P$15:$AA$22,"&gt;" &amp; M12,'Null-3 125-250'!$P$15:$AA$22,"&lt;=" &amp; N12)+COUNTIFS('Null-3 125-250'!$P$27:$AA$34,"&gt;" &amp; M12,'Null-3 125-250'!$P$27:$AA$34,"&lt;=" &amp; N12)</f>
        <v>25</v>
      </c>
      <c r="P12" s="175"/>
      <c r="Q12" s="176">
        <v>180</v>
      </c>
      <c r="R12" s="176">
        <v>200</v>
      </c>
      <c r="S12" s="177">
        <f>COUNTIFS('Null-6 2000-500'!$P$3:$AA$10,"&gt;" &amp; Q12,'Null-6 2000-500'!$P$3:$AA$10,"&lt;=" &amp; R12)+COUNTIFS('Null-6 2000-500'!$P$15:$AA$22,"&gt;" &amp; Q12,'Null-6 2000-500'!$P$15:$AA$22,"&lt;=" &amp; R12)+COUNTIFS('Null-6 500-250'!$P$3:$AA$10,"&gt;" &amp; Q12,'Null-6 500-250'!$P$3:$AA$10,"&lt;=" &amp; R12)+COUNTIFS('Null-6 500-250'!$P$15:$AA$22,"&gt;" &amp; Q12,'Null-6 500-250'!$P$15:$AA$22,"&lt;=" &amp; R12)+COUNTIFS('Null-6 250-125'!$P$3:$AA$10,"&gt;" &amp; Q12,'Null-6 250-125'!$P$3:$AA$10,"&lt;=" &amp; R12)+COUNTIFS('Null-6 250-125'!$P$16:$AA$23,"&gt;" &amp; Q12,'Null-6 250-125'!$P$16:$AA$23,"&lt;=" &amp; R12)+COUNTIFS('Null-6 250-125'!$P$29:$AA$36,"&gt;" &amp; Q12,'Null-6 250-125'!$P$29:$AA$36,"&lt;=" &amp; R12)</f>
        <v>3</v>
      </c>
      <c r="T12" s="175"/>
      <c r="U12" s="176">
        <v>180</v>
      </c>
      <c r="V12" s="176">
        <v>200</v>
      </c>
      <c r="W12" s="177">
        <f>COUNTIFS('Null-10'!$P$3:$AA$10,"&gt;" &amp; U12,'Null-10'!$P$3:$AA$10,"&lt;=" &amp; V12)+COUNTIFS('Null-10'!$P$16:$AA$23,"&gt;" &amp; U12,'Null-10'!$P$16:$AA$23,"&lt;=" &amp; V12)+COUNTIFS('Null-10'!$P$27:$AA$34,"&gt;" &amp; U12,'Null-10'!$P$27:$AA$34,"&lt;=" &amp; V12)+COUNTIFS('Null-10'!$P$38:$AA$45,"&gt;" &amp; U12,'Null-10'!$P$38:$AA$45,"&lt;=" &amp; V12)+COUNTIFS('Null-10'!$P$49:$AA$56,"&gt;" &amp; U12,'Null-10'!$P$49:$AA$56,"&lt;=" &amp; V12)+COUNTIFS('Null-10'!$P$60:$AA$67,"&gt;" &amp; U12,'Null-10'!$P$60:$AA$67,"&lt;=" &amp; V12)+COUNTIFS('Null-10'!$P$71:$AA$78,"&gt;" &amp; U12,'Null-10'!$P$71:$AA$78,"&lt;=" &amp; V12)+COUNTIFS('Null-10'!$P$83:$AA$90,"&gt;" &amp; U12,'Null-10'!$P$83:$AA$90,"&lt;=" &amp; V12)+COUNTIFS('Null-10'!$P$94:$AA$101,"&gt;" &amp; U12,'Null-10'!$P$94:$AA$101,"&lt;=" &amp; V12)</f>
        <v>43</v>
      </c>
      <c r="X12" s="175"/>
      <c r="Y12" s="176">
        <v>180</v>
      </c>
      <c r="Z12" s="176">
        <v>200</v>
      </c>
      <c r="AA12" s="177">
        <f>COUNTIFS('Null-12 2000-500'!$P$3:$AA$10,"&gt;" &amp; Y12,'Null-12 2000-500'!$P$3:$AA$10,"&lt;=" &amp; Z12)+COUNTIFS('Null-12 500-250'!$P$15:$AA$22,"&gt;" &amp;Y12,'Null-12 500-250'!$P$15:$AA$22,"&lt;=" &amp; Z12)+COUNTIFS('Null-12 500-250'!$P$27:$AA$34,"&gt;" &amp; Y12,'Null-12 500-250'!$P$27:$AA$34,"&lt;=" &amp; Z12)+COUNTIFS('Null-12 500-250'!$P$3:$AA$10,"&gt;" &amp; Y12,'Null-12 500-250'!$P$3:$AA$10,"&lt;=" &amp; Z12)+COUNTIFS('EXP 12 250-125 redo'!$P$3:$AA$10,"&gt;" &amp; Y12,'EXP 12 250-125 redo'!$P$3:$AA$10,"&lt;=" &amp; Z12)</f>
        <v>10</v>
      </c>
      <c r="AB12" s="175"/>
      <c r="AC12" s="176">
        <v>180</v>
      </c>
      <c r="AD12" s="176">
        <v>200</v>
      </c>
      <c r="AE12" s="177" t="e">
        <f t="shared" si="0"/>
        <v>#REF!</v>
      </c>
      <c r="AF12" s="182" t="s">
        <v>667</v>
      </c>
    </row>
    <row r="13" spans="1:32">
      <c r="A13" s="173">
        <v>200</v>
      </c>
      <c r="B13" s="173">
        <v>220</v>
      </c>
      <c r="C13" s="174">
        <f>COUNTIFS('Null-1a (Crack) 2000-500'!$P$3:$AA$10,"&gt;" &amp; A13,'Null-1a (Crack) 2000-500'!$P$3:$AA$10,"&lt;=" &amp; B13)+COUNTIFS('Null-1a (Crack) 500-250'!$P$3:$AA$10,"&gt;" &amp; A13,'Null-1a (Crack) 500-250'!$P$3:$AA$10,"&lt;=" &amp; B13)+COUNTIFS('Null-1a (Crack) 500-250'!$P$15:$AA$22,"&gt;" &amp; A13,'Null-1a (Crack) 500-250'!$P$15:$AA$22,"&lt;=" &amp; B13)+COUNTIFS('Null-1a (Crack) 250-125'!$P$3:AA$10,"&gt;" &amp; A13,'Null-1a (Crack) 250-125'!$P$3:$AA$10,"&lt;=" &amp; B13)</f>
        <v>0</v>
      </c>
      <c r="D13" s="175"/>
      <c r="E13" s="176">
        <v>200</v>
      </c>
      <c r="F13" s="176">
        <v>220</v>
      </c>
      <c r="G13" s="177" t="e">
        <f>COUNTIFS(#REF!,"&gt;" &amp; E13,#REF!,"&lt;=" &amp; F13)+COUNTIFS('Null-1b (Bowl) 500-250'!$P$3:$AA$10,"&gt;" &amp; E13,'Null-1b (Bowl) 500-250'!$P$3:$AA$10,"&lt;=" &amp; F13)+COUNTIFS('Null-1b (Bowl) 500-250'!$P$15:$AA$22,"&gt;" &amp; E13,'Null-1b (Bowl) 500-250'!$P$15:$AA$22,"&lt;=" &amp; F13)+COUNTIFS('Null-1b (Bowl) 500-250'!$P$27:$AA$34,"&gt;" &amp; E13,'Null-1b (Bowl) 500-250'!$P$27:$AA$34,"&lt;=" &amp; F13)+COUNTIFS('Null-1b (Bowl) 250-125'!$P$3:$AA$10,"&gt;" &amp; E13,'Null-1b (Bowl) 250-125'!$P$3:$AA$10,"&lt;=" &amp; F13)+COUNTIFS('Null-1b (Bowl) 250-125'!$P$14:$AA$21,"&gt;" &amp; E13,'Null-1b (Bowl) 250-125'!$P$14:$AA$21,"&lt;=" &amp; F13)+COUNTIFS('Null-1b (Bowl) 250-125'!$P$25:$AA$32,"&gt;" &amp; E13,'Null-1b (Bowl) 250-125'!$P$25:$AA$32,"&lt;=" &amp; F13)+COUNTIFS('Null-1b (Bowl) 250-125'!$P$36:$AA$43,"&gt;" &amp; E13,'Null-1b (Bowl) 250-125'!$P$36:$AA$43,"&lt;=" &amp; F13)</f>
        <v>#REF!</v>
      </c>
      <c r="H13" s="175"/>
      <c r="I13" s="178">
        <v>200</v>
      </c>
      <c r="J13" s="178">
        <v>220</v>
      </c>
      <c r="K13" s="179">
        <f>COUNTIFS('Null-1c (Control) 2000-250'!$P$3:$AA$10,"&gt;" &amp; I13,'Null-1c (Control) 2000-250'!$P$3:$AA$10,"&lt;=" &amp; J13)+COUNTIFS('Null-1c (Control) 250-125'!$P$3:$AA$10,"&gt;" &amp; I13,'Null-1c (Control) 250-125'!$P$3:$AA$10,"&lt;=" &amp; J13)+COUNTIFS('Null-1c (Control) 250-125'!$P$3:$AA$10,"&gt;" &amp; I13,'Null-1c (Control) 250-125'!$P$3:$AA$10,"&lt;=" &amp; J13)</f>
        <v>0</v>
      </c>
      <c r="L13" s="183"/>
      <c r="M13" s="178">
        <v>200</v>
      </c>
      <c r="N13" s="176">
        <v>220</v>
      </c>
      <c r="O13" s="177">
        <f>COUNTIFS('Null-3 2000-500'!$P$3:$AA$10,"&gt;" &amp; M13,'Null-3 2000-500'!$P$3:$AA$10,"&lt;=" &amp; N13)+COUNTIFS('Null-3 500-250'!$P$3:$AA$10,"&gt;" &amp; M13,'Null-3 500-250'!$P$3:$AA$10,"&lt;=" &amp; N13)+COUNTIFS('Null-3 500-250'!$P$14:$AA$21,"&gt;" &amp; M13,'Null-3 500-250'!$P$14:$AA$21,"&lt;=" &amp; N13)+COUNTIFS('Null-3 500-250'!$P$25:$AA$32,"&gt;" &amp; M13,'Null-3 500-250'!$P$25:$AA$32,"&lt;=" &amp; N13)+COUNTIFS('Null-3 500-250'!$P$36:$AA$43,"&gt;" &amp; M13,'Null-3 500-250'!$P$36:$AA$43,"&lt;=" &amp; N13)+COUNTIFS('Null-3 500-250'!$P$47:$AA$54,"&gt;" &amp; M13,'Null-3 500-250'!$P$47:$AA$54,"&lt;=" &amp; N13)+COUNTIFS('Null-3 500-250'!$P$59:$AA$66,"&gt;" &amp; M13,'Null-3 500-250'!$P$59:$AA$66,"&lt;=" &amp; N13)+COUNTIFS('Null-3 125-250'!$P$3:$AA$10,"&gt;" &amp; M13,'Null-3 125-250'!$P$3:$AA$10,"&lt;=" &amp; N13)+COUNTIFS('Null-3 125-250'!$P$15:$AA$22,"&gt;" &amp; M13,'Null-3 125-250'!$P$15:$AA$22,"&lt;=" &amp; N13)+COUNTIFS('Null-3 125-250'!$P$27:$AA$34,"&gt;" &amp; M13,'Null-3 125-250'!$P$27:$AA$34,"&lt;=" &amp; N13)</f>
        <v>17</v>
      </c>
      <c r="P13" s="175"/>
      <c r="Q13" s="176">
        <v>200</v>
      </c>
      <c r="R13" s="176">
        <v>220</v>
      </c>
      <c r="S13" s="177">
        <f>COUNTIFS('Null-6 2000-500'!$P$3:$AA$10,"&gt;" &amp; Q13,'Null-6 2000-500'!$P$3:$AA$10,"&lt;=" &amp; R13)+COUNTIFS('Null-6 2000-500'!$P$15:$AA$22,"&gt;" &amp; Q13,'Null-6 2000-500'!$P$15:$AA$22,"&lt;=" &amp; R13)+COUNTIFS('Null-6 500-250'!$P$3:$AA$10,"&gt;" &amp; Q13,'Null-6 500-250'!$P$3:$AA$10,"&lt;=" &amp; R13)+COUNTIFS('Null-6 500-250'!$P$15:$AA$22,"&gt;" &amp; Q13,'Null-6 500-250'!$P$15:$AA$22,"&lt;=" &amp; R13)+COUNTIFS('Null-6 250-125'!$P$3:$AA$10,"&gt;" &amp; Q13,'Null-6 250-125'!$P$3:$AA$10,"&lt;=" &amp; R13)+COUNTIFS('Null-6 250-125'!$P$16:$AA$23,"&gt;" &amp; Q13,'Null-6 250-125'!$P$16:$AA$23,"&lt;=" &amp; R13)+COUNTIFS('Null-6 250-125'!$P$29:$AA$36,"&gt;" &amp; Q13,'Null-6 250-125'!$P$29:$AA$36,"&lt;=" &amp; R13)</f>
        <v>1</v>
      </c>
      <c r="T13" s="175"/>
      <c r="U13" s="176">
        <v>200</v>
      </c>
      <c r="V13" s="176">
        <v>220</v>
      </c>
      <c r="W13" s="177">
        <f>COUNTIFS('Null-10'!$P$3:$AA$10,"&gt;" &amp; U13,'Null-10'!$P$3:$AA$10,"&lt;=" &amp; V13)+COUNTIFS('Null-10'!$P$16:$AA$23,"&gt;" &amp; U13,'Null-10'!$P$16:$AA$23,"&lt;=" &amp; V13)+COUNTIFS('Null-10'!$P$27:$AA$34,"&gt;" &amp; U13,'Null-10'!$P$27:$AA$34,"&lt;=" &amp; V13)+COUNTIFS('Null-10'!$P$38:$AA$45,"&gt;" &amp; U13,'Null-10'!$P$38:$AA$45,"&lt;=" &amp; V13)+COUNTIFS('Null-10'!$P$49:$AA$56,"&gt;" &amp; U13,'Null-10'!$P$49:$AA$56,"&lt;=" &amp; V13)+COUNTIFS('Null-10'!$P$60:$AA$67,"&gt;" &amp; U13,'Null-10'!$P$60:$AA$67,"&lt;=" &amp; V13)+COUNTIFS('Null-10'!$P$71:$AA$78,"&gt;" &amp; U13,'Null-10'!$P$71:$AA$78,"&lt;=" &amp; V13)+COUNTIFS('Null-10'!$P$83:$AA$90,"&gt;" &amp; U13,'Null-10'!$P$83:$AA$90,"&lt;=" &amp; V13)+COUNTIFS('Null-10'!$P$94:$AA$101,"&gt;" &amp; U13,'Null-10'!$P$94:$AA$101,"&lt;=" &amp; V13)</f>
        <v>33</v>
      </c>
      <c r="X13" s="175"/>
      <c r="Y13" s="176">
        <v>200</v>
      </c>
      <c r="Z13" s="176">
        <v>220</v>
      </c>
      <c r="AA13" s="177">
        <f>COUNTIFS('Null-12 2000-500'!$P$3:$AA$10,"&gt;" &amp; Y13,'Null-12 2000-500'!$P$3:$AA$10,"&lt;=" &amp; Z13)+COUNTIFS('Null-12 500-250'!$P$15:$AA$22,"&gt;" &amp;Y13,'Null-12 500-250'!$P$15:$AA$22,"&lt;=" &amp; Z13)+COUNTIFS('Null-12 500-250'!$P$27:$AA$34,"&gt;" &amp; Y13,'Null-12 500-250'!$P$27:$AA$34,"&lt;=" &amp; Z13)+COUNTIFS('Null-12 500-250'!$P$3:$AA$10,"&gt;" &amp; Y13,'Null-12 500-250'!$P$3:$AA$10,"&lt;=" &amp; Z13)+COUNTIFS('EXP 12 250-125 redo'!$P$3:$AA$10,"&gt;" &amp; Y13,'EXP 12 250-125 redo'!$P$3:$AA$10,"&lt;=" &amp; Z13)</f>
        <v>10</v>
      </c>
      <c r="AB13" s="175"/>
      <c r="AC13" s="176">
        <v>200</v>
      </c>
      <c r="AD13" s="176">
        <v>220</v>
      </c>
      <c r="AE13" s="177" t="e">
        <f t="shared" si="0"/>
        <v>#REF!</v>
      </c>
      <c r="AF13" s="182" t="s">
        <v>668</v>
      </c>
    </row>
    <row r="14" spans="1:32">
      <c r="A14" s="173">
        <v>220</v>
      </c>
      <c r="B14" s="173">
        <v>240</v>
      </c>
      <c r="C14" s="174">
        <f>COUNTIFS('Null-1a (Crack) 2000-500'!$P$3:$AA$10,"&gt;" &amp; A14,'Null-1a (Crack) 2000-500'!$P$3:$AA$10,"&lt;=" &amp; B14)+COUNTIFS('Null-1a (Crack) 500-250'!$P$3:$AA$10,"&gt;" &amp; A14,'Null-1a (Crack) 500-250'!$P$3:$AA$10,"&lt;=" &amp; B14)+COUNTIFS('Null-1a (Crack) 500-250'!$P$15:$AA$22,"&gt;" &amp; A14,'Null-1a (Crack) 500-250'!$P$15:$AA$22,"&lt;=" &amp; B14)+COUNTIFS('Null-1a (Crack) 250-125'!$P$3:AA$10,"&gt;" &amp; A14,'Null-1a (Crack) 250-125'!$P$3:$AA$10,"&lt;=" &amp; B14)</f>
        <v>0</v>
      </c>
      <c r="D14" s="175"/>
      <c r="E14" s="176">
        <v>220</v>
      </c>
      <c r="F14" s="176">
        <v>240</v>
      </c>
      <c r="G14" s="177" t="e">
        <f>COUNTIFS(#REF!,"&gt;" &amp; E14,#REF!,"&lt;=" &amp; F14)+COUNTIFS('Null-1b (Bowl) 500-250'!$P$3:$AA$10,"&gt;" &amp; E14,'Null-1b (Bowl) 500-250'!$P$3:$AA$10,"&lt;=" &amp; F14)+COUNTIFS('Null-1b (Bowl) 500-250'!$P$15:$AA$22,"&gt;" &amp; E14,'Null-1b (Bowl) 500-250'!$P$15:$AA$22,"&lt;=" &amp; F14)+COUNTIFS('Null-1b (Bowl) 500-250'!$P$27:$AA$34,"&gt;" &amp; E14,'Null-1b (Bowl) 500-250'!$P$27:$AA$34,"&lt;=" &amp; F14)+COUNTIFS('Null-1b (Bowl) 250-125'!$P$3:$AA$10,"&gt;" &amp; E14,'Null-1b (Bowl) 250-125'!$P$3:$AA$10,"&lt;=" &amp; F14)+COUNTIFS('Null-1b (Bowl) 250-125'!$P$14:$AA$21,"&gt;" &amp; E14,'Null-1b (Bowl) 250-125'!$P$14:$AA$21,"&lt;=" &amp; F14)+COUNTIFS('Null-1b (Bowl) 250-125'!$P$25:$AA$32,"&gt;" &amp; E14,'Null-1b (Bowl) 250-125'!$P$25:$AA$32,"&lt;=" &amp; F14)+COUNTIFS('Null-1b (Bowl) 250-125'!$P$36:$AA$43,"&gt;" &amp; E14,'Null-1b (Bowl) 250-125'!$P$36:$AA$43,"&lt;=" &amp; F14)</f>
        <v>#REF!</v>
      </c>
      <c r="H14" s="175"/>
      <c r="I14" s="178">
        <v>220</v>
      </c>
      <c r="J14" s="178">
        <v>240</v>
      </c>
      <c r="K14" s="179">
        <f>COUNTIFS('Null-1c (Control) 2000-250'!$P$3:$AA$10,"&gt;" &amp; I14,'Null-1c (Control) 2000-250'!$P$3:$AA$10,"&lt;=" &amp; J14)+COUNTIFS('Null-1c (Control) 250-125'!$P$3:$AA$10,"&gt;" &amp; I14,'Null-1c (Control) 250-125'!$P$3:$AA$10,"&lt;=" &amp; J14)+COUNTIFS('Null-1c (Control) 250-125'!$P$3:$AA$10,"&gt;" &amp; I14,'Null-1c (Control) 250-125'!$P$3:$AA$10,"&lt;=" &amp; J14)</f>
        <v>0</v>
      </c>
      <c r="L14" s="183"/>
      <c r="M14" s="178">
        <v>220</v>
      </c>
      <c r="N14" s="176">
        <v>240</v>
      </c>
      <c r="O14" s="177">
        <f>COUNTIFS('Null-3 2000-500'!$P$3:$AA$10,"&gt;" &amp; M14,'Null-3 2000-500'!$P$3:$AA$10,"&lt;=" &amp; N14)+COUNTIFS('Null-3 500-250'!$P$3:$AA$10,"&gt;" &amp; M14,'Null-3 500-250'!$P$3:$AA$10,"&lt;=" &amp; N14)+COUNTIFS('Null-3 500-250'!$P$14:$AA$21,"&gt;" &amp; M14,'Null-3 500-250'!$P$14:$AA$21,"&lt;=" &amp; N14)+COUNTIFS('Null-3 500-250'!$P$25:$AA$32,"&gt;" &amp; M14,'Null-3 500-250'!$P$25:$AA$32,"&lt;=" &amp; N14)+COUNTIFS('Null-3 500-250'!$P$36:$AA$43,"&gt;" &amp; M14,'Null-3 500-250'!$P$36:$AA$43,"&lt;=" &amp; N14)+COUNTIFS('Null-3 500-250'!$P$47:$AA$54,"&gt;" &amp; M14,'Null-3 500-250'!$P$47:$AA$54,"&lt;=" &amp; N14)+COUNTIFS('Null-3 500-250'!$P$59:$AA$66,"&gt;" &amp; M14,'Null-3 500-250'!$P$59:$AA$66,"&lt;=" &amp; N14)+COUNTIFS('Null-3 125-250'!$P$3:$AA$10,"&gt;" &amp; M14,'Null-3 125-250'!$P$3:$AA$10,"&lt;=" &amp; N14)+COUNTIFS('Null-3 125-250'!$P$15:$AA$22,"&gt;" &amp; M14,'Null-3 125-250'!$P$15:$AA$22,"&lt;=" &amp; N14)+COUNTIFS('Null-3 125-250'!$P$27:$AA$34,"&gt;" &amp; M14,'Null-3 125-250'!$P$27:$AA$34,"&lt;=" &amp; N14)</f>
        <v>8</v>
      </c>
      <c r="P14" s="175"/>
      <c r="Q14" s="176">
        <v>220</v>
      </c>
      <c r="R14" s="176">
        <v>240</v>
      </c>
      <c r="S14" s="177">
        <f>COUNTIFS('Null-6 2000-500'!$P$3:$AA$10,"&gt;" &amp; Q14,'Null-6 2000-500'!$P$3:$AA$10,"&lt;=" &amp; R14)+COUNTIFS('Null-6 2000-500'!$P$15:$AA$22,"&gt;" &amp; Q14,'Null-6 2000-500'!$P$15:$AA$22,"&lt;=" &amp; R14)+COUNTIFS('Null-6 500-250'!$P$3:$AA$10,"&gt;" &amp; Q14,'Null-6 500-250'!$P$3:$AA$10,"&lt;=" &amp; R14)+COUNTIFS('Null-6 500-250'!$P$15:$AA$22,"&gt;" &amp; Q14,'Null-6 500-250'!$P$15:$AA$22,"&lt;=" &amp; R14)+COUNTIFS('Null-6 250-125'!$P$3:$AA$10,"&gt;" &amp; Q14,'Null-6 250-125'!$P$3:$AA$10,"&lt;=" &amp; R14)+COUNTIFS('Null-6 250-125'!$P$16:$AA$23,"&gt;" &amp; Q14,'Null-6 250-125'!$P$16:$AA$23,"&lt;=" &amp; R14)+COUNTIFS('Null-6 250-125'!$P$29:$AA$36,"&gt;" &amp; Q14,'Null-6 250-125'!$P$29:$AA$36,"&lt;=" &amp; R14)</f>
        <v>1</v>
      </c>
      <c r="T14" s="175"/>
      <c r="U14" s="176">
        <v>220</v>
      </c>
      <c r="V14" s="176">
        <v>240</v>
      </c>
      <c r="W14" s="177">
        <f>COUNTIFS('Null-10'!$P$3:$AA$10,"&gt;" &amp; U14,'Null-10'!$P$3:$AA$10,"&lt;=" &amp; V14)+COUNTIFS('Null-10'!$P$16:$AA$23,"&gt;" &amp; U14,'Null-10'!$P$16:$AA$23,"&lt;=" &amp; V14)+COUNTIFS('Null-10'!$P$27:$AA$34,"&gt;" &amp; U14,'Null-10'!$P$27:$AA$34,"&lt;=" &amp; V14)+COUNTIFS('Null-10'!$P$38:$AA$45,"&gt;" &amp; U14,'Null-10'!$P$38:$AA$45,"&lt;=" &amp; V14)+COUNTIFS('Null-10'!$P$49:$AA$56,"&gt;" &amp; U14,'Null-10'!$P$49:$AA$56,"&lt;=" &amp; V14)+COUNTIFS('Null-10'!$P$60:$AA$67,"&gt;" &amp; U14,'Null-10'!$P$60:$AA$67,"&lt;=" &amp; V14)+COUNTIFS('Null-10'!$P$71:$AA$78,"&gt;" &amp; U14,'Null-10'!$P$71:$AA$78,"&lt;=" &amp; V14)+COUNTIFS('Null-10'!$P$83:$AA$90,"&gt;" &amp; U14,'Null-10'!$P$83:$AA$90,"&lt;=" &amp; V14)+COUNTIFS('Null-10'!$P$94:$AA$101,"&gt;" &amp; U14,'Null-10'!$P$94:$AA$101,"&lt;=" &amp; V14)</f>
        <v>27</v>
      </c>
      <c r="X14" s="175"/>
      <c r="Y14" s="176">
        <v>220</v>
      </c>
      <c r="Z14" s="176">
        <v>240</v>
      </c>
      <c r="AA14" s="177">
        <f>COUNTIFS('Null-12 2000-500'!$P$3:$AA$10,"&gt;" &amp; Y14,'Null-12 2000-500'!$P$3:$AA$10,"&lt;=" &amp; Z14)+COUNTIFS('Null-12 500-250'!$P$15:$AA$22,"&gt;" &amp;Y14,'Null-12 500-250'!$P$15:$AA$22,"&lt;=" &amp; Z14)+COUNTIFS('Null-12 500-250'!$P$27:$AA$34,"&gt;" &amp; Y14,'Null-12 500-250'!$P$27:$AA$34,"&lt;=" &amp; Z14)+COUNTIFS('Null-12 500-250'!$P$3:$AA$10,"&gt;" &amp; Y14,'Null-12 500-250'!$P$3:$AA$10,"&lt;=" &amp; Z14)+COUNTIFS('EXP 12 250-125 redo'!$P$3:$AA$10,"&gt;" &amp; Y14,'EXP 12 250-125 redo'!$P$3:$AA$10,"&lt;=" &amp; Z14)</f>
        <v>11</v>
      </c>
      <c r="AB14" s="175"/>
      <c r="AC14" s="176">
        <v>220</v>
      </c>
      <c r="AD14" s="176">
        <v>240</v>
      </c>
      <c r="AE14" s="177" t="e">
        <f t="shared" si="0"/>
        <v>#REF!</v>
      </c>
      <c r="AF14" s="182" t="s">
        <v>669</v>
      </c>
    </row>
    <row r="15" spans="1:32">
      <c r="A15" s="173">
        <v>240</v>
      </c>
      <c r="B15" s="173">
        <v>260</v>
      </c>
      <c r="C15" s="174">
        <f>COUNTIFS('Null-1a (Crack) 2000-500'!$P$3:$AA$10,"&gt;" &amp; A15,'Null-1a (Crack) 2000-500'!$P$3:$AA$10,"&lt;=" &amp; B15)+COUNTIFS('Null-1a (Crack) 500-250'!$P$3:$AA$10,"&gt;" &amp; A15,'Null-1a (Crack) 500-250'!$P$3:$AA$10,"&lt;=" &amp; B15)+COUNTIFS('Null-1a (Crack) 500-250'!$P$15:$AA$22,"&gt;" &amp; A15,'Null-1a (Crack) 500-250'!$P$15:$AA$22,"&lt;=" &amp; B15)+COUNTIFS('Null-1a (Crack) 250-125'!$P$3:AA$10,"&gt;" &amp; A15,'Null-1a (Crack) 250-125'!$P$3:$AA$10,"&lt;=" &amp; B15)</f>
        <v>1</v>
      </c>
      <c r="D15" s="175"/>
      <c r="E15" s="176">
        <v>240</v>
      </c>
      <c r="F15" s="176">
        <v>260</v>
      </c>
      <c r="G15" s="177" t="e">
        <f>COUNTIFS(#REF!,"&gt;" &amp; E15,#REF!,"&lt;=" &amp; F15)+COUNTIFS('Null-1b (Bowl) 500-250'!$P$3:$AA$10,"&gt;" &amp; E15,'Null-1b (Bowl) 500-250'!$P$3:$AA$10,"&lt;=" &amp; F15)+COUNTIFS('Null-1b (Bowl) 500-250'!$P$15:$AA$22,"&gt;" &amp; E15,'Null-1b (Bowl) 500-250'!$P$15:$AA$22,"&lt;=" &amp; F15)+COUNTIFS('Null-1b (Bowl) 500-250'!$P$27:$AA$34,"&gt;" &amp; E15,'Null-1b (Bowl) 500-250'!$P$27:$AA$34,"&lt;=" &amp; F15)+COUNTIFS('Null-1b (Bowl) 250-125'!$P$3:$AA$10,"&gt;" &amp; E15,'Null-1b (Bowl) 250-125'!$P$3:$AA$10,"&lt;=" &amp; F15)+COUNTIFS('Null-1b (Bowl) 250-125'!$P$14:$AA$21,"&gt;" &amp; E15,'Null-1b (Bowl) 250-125'!$P$14:$AA$21,"&lt;=" &amp; F15)+COUNTIFS('Null-1b (Bowl) 250-125'!$P$25:$AA$32,"&gt;" &amp; E15,'Null-1b (Bowl) 250-125'!$P$25:$AA$32,"&lt;=" &amp; F15)+COUNTIFS('Null-1b (Bowl) 250-125'!$P$36:$AA$43,"&gt;" &amp; E15,'Null-1b (Bowl) 250-125'!$P$36:$AA$43,"&lt;=" &amp; F15)</f>
        <v>#REF!</v>
      </c>
      <c r="H15" s="175"/>
      <c r="I15" s="178">
        <v>240</v>
      </c>
      <c r="J15" s="178">
        <v>260</v>
      </c>
      <c r="K15" s="179">
        <f>COUNTIFS('Null-1c (Control) 2000-250'!$P$3:$AA$10,"&gt;" &amp; I15,'Null-1c (Control) 2000-250'!$P$3:$AA$10,"&lt;=" &amp; J15)+COUNTIFS('Null-1c (Control) 250-125'!$P$3:$AA$10,"&gt;" &amp; I15,'Null-1c (Control) 250-125'!$P$3:$AA$10,"&lt;=" &amp; J15)+COUNTIFS('Null-1c (Control) 250-125'!$P$3:$AA$10,"&gt;" &amp; I15,'Null-1c (Control) 250-125'!$P$3:$AA$10,"&lt;=" &amp; J15)</f>
        <v>0</v>
      </c>
      <c r="L15" s="183"/>
      <c r="M15" s="178">
        <v>240</v>
      </c>
      <c r="N15" s="176">
        <v>260</v>
      </c>
      <c r="O15" s="177">
        <f>COUNTIFS('Null-3 2000-500'!$P$3:$AA$10,"&gt;" &amp; M15,'Null-3 2000-500'!$P$3:$AA$10,"&lt;=" &amp; N15)+COUNTIFS('Null-3 500-250'!$P$3:$AA$10,"&gt;" &amp; M15,'Null-3 500-250'!$P$3:$AA$10,"&lt;=" &amp; N15)+COUNTIFS('Null-3 500-250'!$P$14:$AA$21,"&gt;" &amp; M15,'Null-3 500-250'!$P$14:$AA$21,"&lt;=" &amp; N15)+COUNTIFS('Null-3 500-250'!$P$25:$AA$32,"&gt;" &amp; M15,'Null-3 500-250'!$P$25:$AA$32,"&lt;=" &amp; N15)+COUNTIFS('Null-3 500-250'!$P$36:$AA$43,"&gt;" &amp; M15,'Null-3 500-250'!$P$36:$AA$43,"&lt;=" &amp; N15)+COUNTIFS('Null-3 500-250'!$P$47:$AA$54,"&gt;" &amp; M15,'Null-3 500-250'!$P$47:$AA$54,"&lt;=" &amp; N15)+COUNTIFS('Null-3 500-250'!$P$59:$AA$66,"&gt;" &amp; M15,'Null-3 500-250'!$P$59:$AA$66,"&lt;=" &amp; N15)+COUNTIFS('Null-3 125-250'!$P$3:$AA$10,"&gt;" &amp; M15,'Null-3 125-250'!$P$3:$AA$10,"&lt;=" &amp; N15)+COUNTIFS('Null-3 125-250'!$P$15:$AA$22,"&gt;" &amp; M15,'Null-3 125-250'!$P$15:$AA$22,"&lt;=" &amp; N15)+COUNTIFS('Null-3 125-250'!$P$27:$AA$34,"&gt;" &amp; M15,'Null-3 125-250'!$P$27:$AA$34,"&lt;=" &amp; N15)</f>
        <v>5</v>
      </c>
      <c r="P15" s="175"/>
      <c r="Q15" s="176">
        <v>240</v>
      </c>
      <c r="R15" s="176">
        <v>260</v>
      </c>
      <c r="S15" s="177">
        <f>COUNTIFS('Null-6 2000-500'!$P$3:$AA$10,"&gt;" &amp; Q15,'Null-6 2000-500'!$P$3:$AA$10,"&lt;=" &amp; R15)+COUNTIFS('Null-6 2000-500'!$P$15:$AA$22,"&gt;" &amp; Q15,'Null-6 2000-500'!$P$15:$AA$22,"&lt;=" &amp; R15)+COUNTIFS('Null-6 500-250'!$P$3:$AA$10,"&gt;" &amp; Q15,'Null-6 500-250'!$P$3:$AA$10,"&lt;=" &amp; R15)+COUNTIFS('Null-6 500-250'!$P$15:$AA$22,"&gt;" &amp; Q15,'Null-6 500-250'!$P$15:$AA$22,"&lt;=" &amp; R15)+COUNTIFS('Null-6 250-125'!$P$3:$AA$10,"&gt;" &amp; Q15,'Null-6 250-125'!$P$3:$AA$10,"&lt;=" &amp; R15)+COUNTIFS('Null-6 250-125'!$P$16:$AA$23,"&gt;" &amp; Q15,'Null-6 250-125'!$P$16:$AA$23,"&lt;=" &amp; R15)+COUNTIFS('Null-6 250-125'!$P$29:$AA$36,"&gt;" &amp; Q15,'Null-6 250-125'!$P$29:$AA$36,"&lt;=" &amp; R15)</f>
        <v>0</v>
      </c>
      <c r="T15" s="175"/>
      <c r="U15" s="176">
        <v>240</v>
      </c>
      <c r="V15" s="176">
        <v>260</v>
      </c>
      <c r="W15" s="177">
        <f>COUNTIFS('Null-10'!$P$3:$AA$10,"&gt;" &amp; U15,'Null-10'!$P$3:$AA$10,"&lt;=" &amp; V15)+COUNTIFS('Null-10'!$P$16:$AA$23,"&gt;" &amp; U15,'Null-10'!$P$16:$AA$23,"&lt;=" &amp; V15)+COUNTIFS('Null-10'!$P$27:$AA$34,"&gt;" &amp; U15,'Null-10'!$P$27:$AA$34,"&lt;=" &amp; V15)+COUNTIFS('Null-10'!$P$38:$AA$45,"&gt;" &amp; U15,'Null-10'!$P$38:$AA$45,"&lt;=" &amp; V15)+COUNTIFS('Null-10'!$P$49:$AA$56,"&gt;" &amp; U15,'Null-10'!$P$49:$AA$56,"&lt;=" &amp; V15)+COUNTIFS('Null-10'!$P$60:$AA$67,"&gt;" &amp; U15,'Null-10'!$P$60:$AA$67,"&lt;=" &amp; V15)+COUNTIFS('Null-10'!$P$71:$AA$78,"&gt;" &amp; U15,'Null-10'!$P$71:$AA$78,"&lt;=" &amp; V15)+COUNTIFS('Null-10'!$P$83:$AA$90,"&gt;" &amp; U15,'Null-10'!$P$83:$AA$90,"&lt;=" &amp; V15)+COUNTIFS('Null-10'!$P$94:$AA$101,"&gt;" &amp; U15,'Null-10'!$P$94:$AA$101,"&lt;=" &amp; V15)</f>
        <v>15</v>
      </c>
      <c r="X15" s="175"/>
      <c r="Y15" s="176">
        <v>240</v>
      </c>
      <c r="Z15" s="176">
        <v>260</v>
      </c>
      <c r="AA15" s="177">
        <f>COUNTIFS('Null-12 2000-500'!$P$3:$AA$10,"&gt;" &amp; Y15,'Null-12 2000-500'!$P$3:$AA$10,"&lt;=" &amp; Z15)+COUNTIFS('Null-12 500-250'!$P$15:$AA$22,"&gt;" &amp;Y15,'Null-12 500-250'!$P$15:$AA$22,"&lt;=" &amp; Z15)+COUNTIFS('Null-12 500-250'!$P$27:$AA$34,"&gt;" &amp; Y15,'Null-12 500-250'!$P$27:$AA$34,"&lt;=" &amp; Z15)+COUNTIFS('Null-12 500-250'!$P$3:$AA$10,"&gt;" &amp; Y15,'Null-12 500-250'!$P$3:$AA$10,"&lt;=" &amp; Z15)+COUNTIFS('EXP 12 250-125 redo'!$P$3:$AA$10,"&gt;" &amp; Y15,'EXP 12 250-125 redo'!$P$3:$AA$10,"&lt;=" &amp; Z15)</f>
        <v>11</v>
      </c>
      <c r="AB15" s="175"/>
      <c r="AC15" s="176">
        <v>240</v>
      </c>
      <c r="AD15" s="176">
        <v>260</v>
      </c>
      <c r="AE15" s="177" t="e">
        <f t="shared" si="0"/>
        <v>#REF!</v>
      </c>
      <c r="AF15" s="182" t="s">
        <v>670</v>
      </c>
    </row>
    <row r="16" spans="1:32">
      <c r="A16" s="173">
        <v>260</v>
      </c>
      <c r="B16" s="173">
        <v>280</v>
      </c>
      <c r="C16" s="174">
        <f>COUNTIFS('Null-1a (Crack) 2000-500'!$P$3:$AA$10,"&gt;" &amp; A16,'Null-1a (Crack) 2000-500'!$P$3:$AA$10,"&lt;=" &amp; B16)+COUNTIFS('Null-1a (Crack) 500-250'!$P$3:$AA$10,"&gt;" &amp; A16,'Null-1a (Crack) 500-250'!$P$3:$AA$10,"&lt;=" &amp; B16)+COUNTIFS('Null-1a (Crack) 500-250'!$P$15:$AA$22,"&gt;" &amp; A16,'Null-1a (Crack) 500-250'!$P$15:$AA$22,"&lt;=" &amp; B16)+COUNTIFS('Null-1a (Crack) 250-125'!$P$3:AA$10,"&gt;" &amp; A16,'Null-1a (Crack) 250-125'!$P$3:$AA$10,"&lt;=" &amp; B16)</f>
        <v>0</v>
      </c>
      <c r="D16" s="180"/>
      <c r="E16" s="181">
        <v>260</v>
      </c>
      <c r="F16" s="181">
        <v>280</v>
      </c>
      <c r="G16" s="177" t="e">
        <f>COUNTIFS(#REF!,"&gt;" &amp; E16,#REF!,"&lt;=" &amp; F16)+COUNTIFS('Null-1b (Bowl) 500-250'!$P$3:$AA$10,"&gt;" &amp; E16,'Null-1b (Bowl) 500-250'!$P$3:$AA$10,"&lt;=" &amp; F16)+COUNTIFS('Null-1b (Bowl) 500-250'!$P$15:$AA$22,"&gt;" &amp; E16,'Null-1b (Bowl) 500-250'!$P$15:$AA$22,"&lt;=" &amp; F16)+COUNTIFS('Null-1b (Bowl) 500-250'!$P$27:$AA$34,"&gt;" &amp; E16,'Null-1b (Bowl) 500-250'!$P$27:$AA$34,"&lt;=" &amp; F16)+COUNTIFS('Null-1b (Bowl) 250-125'!$P$3:$AA$10,"&gt;" &amp; E16,'Null-1b (Bowl) 250-125'!$P$3:$AA$10,"&lt;=" &amp; F16)+COUNTIFS('Null-1b (Bowl) 250-125'!$P$14:$AA$21,"&gt;" &amp; E16,'Null-1b (Bowl) 250-125'!$P$14:$AA$21,"&lt;=" &amp; F16)+COUNTIFS('Null-1b (Bowl) 250-125'!$P$25:$AA$32,"&gt;" &amp; E16,'Null-1b (Bowl) 250-125'!$P$25:$AA$32,"&lt;=" &amp; F16)+COUNTIFS('Null-1b (Bowl) 250-125'!$P$36:$AA$43,"&gt;" &amp; E16,'Null-1b (Bowl) 250-125'!$P$36:$AA$43,"&lt;=" &amp; F16)</f>
        <v>#REF!</v>
      </c>
      <c r="H16" s="175"/>
      <c r="I16" s="178">
        <v>260</v>
      </c>
      <c r="J16" s="178">
        <v>280</v>
      </c>
      <c r="K16" s="179">
        <f>COUNTIFS('Null-1c (Control) 2000-250'!$P$3:$AA$10,"&gt;" &amp; I16,'Null-1c (Control) 2000-250'!$P$3:$AA$10,"&lt;=" &amp; J16)+COUNTIFS('Null-1c (Control) 250-125'!$P$3:$AA$10,"&gt;" &amp; I16,'Null-1c (Control) 250-125'!$P$3:$AA$10,"&lt;=" &amp; J16)+COUNTIFS('Null-1c (Control) 250-125'!$P$3:$AA$10,"&gt;" &amp; I16,'Null-1c (Control) 250-125'!$P$3:$AA$10,"&lt;=" &amp; J16)</f>
        <v>1</v>
      </c>
      <c r="L16" s="183"/>
      <c r="M16" s="178">
        <v>260</v>
      </c>
      <c r="N16" s="176">
        <v>280</v>
      </c>
      <c r="O16" s="177">
        <f>COUNTIFS('Null-3 2000-500'!$P$3:$AA$10,"&gt;" &amp; M16,'Null-3 2000-500'!$P$3:$AA$10,"&lt;=" &amp; N16)+COUNTIFS('Null-3 500-250'!$P$3:$AA$10,"&gt;" &amp; M16,'Null-3 500-250'!$P$3:$AA$10,"&lt;=" &amp; N16)+COUNTIFS('Null-3 500-250'!$P$14:$AA$21,"&gt;" &amp; M16,'Null-3 500-250'!$P$14:$AA$21,"&lt;=" &amp; N16)+COUNTIFS('Null-3 500-250'!$P$25:$AA$32,"&gt;" &amp; M16,'Null-3 500-250'!$P$25:$AA$32,"&lt;=" &amp; N16)+COUNTIFS('Null-3 500-250'!$P$36:$AA$43,"&gt;" &amp; M16,'Null-3 500-250'!$P$36:$AA$43,"&lt;=" &amp; N16)+COUNTIFS('Null-3 500-250'!$P$47:$AA$54,"&gt;" &amp; M16,'Null-3 500-250'!$P$47:$AA$54,"&lt;=" &amp; N16)+COUNTIFS('Null-3 500-250'!$P$59:$AA$66,"&gt;" &amp; M16,'Null-3 500-250'!$P$59:$AA$66,"&lt;=" &amp; N16)+COUNTIFS('Null-3 125-250'!$P$3:$AA$10,"&gt;" &amp; M16,'Null-3 125-250'!$P$3:$AA$10,"&lt;=" &amp; N16)+COUNTIFS('Null-3 125-250'!$P$15:$AA$22,"&gt;" &amp; M16,'Null-3 125-250'!$P$15:$AA$22,"&lt;=" &amp; N16)+COUNTIFS('Null-3 125-250'!$P$27:$AA$34,"&gt;" &amp; M16,'Null-3 125-250'!$P$27:$AA$34,"&lt;=" &amp; N16)</f>
        <v>6</v>
      </c>
      <c r="P16" s="175"/>
      <c r="Q16" s="176">
        <v>260</v>
      </c>
      <c r="R16" s="176">
        <v>280</v>
      </c>
      <c r="S16" s="177">
        <f>COUNTIFS('Null-6 2000-500'!$P$3:$AA$10,"&gt;" &amp; Q16,'Null-6 2000-500'!$P$3:$AA$10,"&lt;=" &amp; R16)+COUNTIFS('Null-6 2000-500'!$P$15:$AA$22,"&gt;" &amp; Q16,'Null-6 2000-500'!$P$15:$AA$22,"&lt;=" &amp; R16)+COUNTIFS('Null-6 500-250'!$P$3:$AA$10,"&gt;" &amp; Q16,'Null-6 500-250'!$P$3:$AA$10,"&lt;=" &amp; R16)+COUNTIFS('Null-6 500-250'!$P$15:$AA$22,"&gt;" &amp; Q16,'Null-6 500-250'!$P$15:$AA$22,"&lt;=" &amp; R16)+COUNTIFS('Null-6 250-125'!$P$3:$AA$10,"&gt;" &amp; Q16,'Null-6 250-125'!$P$3:$AA$10,"&lt;=" &amp; R16)+COUNTIFS('Null-6 250-125'!$P$16:$AA$23,"&gt;" &amp; Q16,'Null-6 250-125'!$P$16:$AA$23,"&lt;=" &amp; R16)+COUNTIFS('Null-6 250-125'!$P$29:$AA$36,"&gt;" &amp; Q16,'Null-6 250-125'!$P$29:$AA$36,"&lt;=" &amp; R16)</f>
        <v>1</v>
      </c>
      <c r="T16" s="175"/>
      <c r="U16" s="176">
        <v>260</v>
      </c>
      <c r="V16" s="176">
        <v>280</v>
      </c>
      <c r="W16" s="177">
        <f>COUNTIFS('Null-10'!$P$3:$AA$10,"&gt;" &amp; U16,'Null-10'!$P$3:$AA$10,"&lt;=" &amp; V16)+COUNTIFS('Null-10'!$P$16:$AA$23,"&gt;" &amp; U16,'Null-10'!$P$16:$AA$23,"&lt;=" &amp; V16)+COUNTIFS('Null-10'!$P$27:$AA$34,"&gt;" &amp; U16,'Null-10'!$P$27:$AA$34,"&lt;=" &amp; V16)+COUNTIFS('Null-10'!$P$38:$AA$45,"&gt;" &amp; U16,'Null-10'!$P$38:$AA$45,"&lt;=" &amp; V16)+COUNTIFS('Null-10'!$P$49:$AA$56,"&gt;" &amp; U16,'Null-10'!$P$49:$AA$56,"&lt;=" &amp; V16)+COUNTIFS('Null-10'!$P$60:$AA$67,"&gt;" &amp; U16,'Null-10'!$P$60:$AA$67,"&lt;=" &amp; V16)+COUNTIFS('Null-10'!$P$71:$AA$78,"&gt;" &amp; U16,'Null-10'!$P$71:$AA$78,"&lt;=" &amp; V16)+COUNTIFS('Null-10'!$P$83:$AA$90,"&gt;" &amp; U16,'Null-10'!$P$83:$AA$90,"&lt;=" &amp; V16)+COUNTIFS('Null-10'!$P$94:$AA$101,"&gt;" &amp; U16,'Null-10'!$P$94:$AA$101,"&lt;=" &amp; V16)</f>
        <v>9</v>
      </c>
      <c r="X16" s="175"/>
      <c r="Y16" s="176">
        <v>260</v>
      </c>
      <c r="Z16" s="176">
        <v>280</v>
      </c>
      <c r="AA16" s="177">
        <f>COUNTIFS('Null-12 2000-500'!$P$3:$AA$10,"&gt;" &amp; Y16,'Null-12 2000-500'!$P$3:$AA$10,"&lt;=" &amp; Z16)+COUNTIFS('Null-12 500-250'!$P$15:$AA$22,"&gt;" &amp;Y16,'Null-12 500-250'!$P$15:$AA$22,"&lt;=" &amp; Z16)+COUNTIFS('Null-12 500-250'!$P$27:$AA$34,"&gt;" &amp; Y16,'Null-12 500-250'!$P$27:$AA$34,"&lt;=" &amp; Z16)+COUNTIFS('Null-12 500-250'!$P$3:$AA$10,"&gt;" &amp; Y16,'Null-12 500-250'!$P$3:$AA$10,"&lt;=" &amp; Z16)+COUNTIFS('EXP 12 250-125 redo'!$P$3:$AA$10,"&gt;" &amp; Y16,'EXP 12 250-125 redo'!$P$3:$AA$10,"&lt;=" &amp; Z16)</f>
        <v>3</v>
      </c>
      <c r="AB16" s="175"/>
      <c r="AC16" s="176">
        <v>260</v>
      </c>
      <c r="AD16" s="176">
        <v>280</v>
      </c>
      <c r="AE16" s="177" t="e">
        <f t="shared" si="0"/>
        <v>#REF!</v>
      </c>
      <c r="AF16" s="182" t="s">
        <v>671</v>
      </c>
    </row>
    <row r="17" spans="1:32">
      <c r="A17" s="173">
        <v>280</v>
      </c>
      <c r="B17" s="173">
        <v>300</v>
      </c>
      <c r="C17" s="174">
        <f>COUNTIFS('Null-1a (Crack) 2000-500'!$P$3:$AA$10,"&gt;" &amp; A17,'Null-1a (Crack) 2000-500'!$P$3:$AA$10,"&lt;=" &amp; B17)+COUNTIFS('Null-1a (Crack) 500-250'!$P$3:$AA$10,"&gt;" &amp; A17,'Null-1a (Crack) 500-250'!$P$3:$AA$10,"&lt;=" &amp; B17)+COUNTIFS('Null-1a (Crack) 500-250'!$P$15:$AA$22,"&gt;" &amp; A17,'Null-1a (Crack) 500-250'!$P$15:$AA$22,"&lt;=" &amp; B17)+COUNTIFS('Null-1a (Crack) 250-125'!$P$3:AA$10,"&gt;" &amp; A17,'Null-1a (Crack) 250-125'!$P$3:$AA$10,"&lt;=" &amp; B17)</f>
        <v>0</v>
      </c>
      <c r="D17" s="184"/>
      <c r="E17" s="185">
        <v>280</v>
      </c>
      <c r="F17" s="185">
        <v>300</v>
      </c>
      <c r="G17" s="177" t="e">
        <f>COUNTIFS(#REF!,"&gt;" &amp; E17,#REF!,"&lt;=" &amp; F17)+COUNTIFS('Null-1b (Bowl) 500-250'!$P$3:$AA$10,"&gt;" &amp; E17,'Null-1b (Bowl) 500-250'!$P$3:$AA$10,"&lt;=" &amp; F17)+COUNTIFS('Null-1b (Bowl) 500-250'!$P$15:$AA$22,"&gt;" &amp; E17,'Null-1b (Bowl) 500-250'!$P$15:$AA$22,"&lt;=" &amp; F17)+COUNTIFS('Null-1b (Bowl) 500-250'!$P$27:$AA$34,"&gt;" &amp; E17,'Null-1b (Bowl) 500-250'!$P$27:$AA$34,"&lt;=" &amp; F17)+COUNTIFS('Null-1b (Bowl) 250-125'!$P$3:$AA$10,"&gt;" &amp; E17,'Null-1b (Bowl) 250-125'!$P$3:$AA$10,"&lt;=" &amp; F17)+COUNTIFS('Null-1b (Bowl) 250-125'!$P$14:$AA$21,"&gt;" &amp; E17,'Null-1b (Bowl) 250-125'!$P$14:$AA$21,"&lt;=" &amp; F17)+COUNTIFS('Null-1b (Bowl) 250-125'!$P$25:$AA$32,"&gt;" &amp; E17,'Null-1b (Bowl) 250-125'!$P$25:$AA$32,"&lt;=" &amp; F17)+COUNTIFS('Null-1b (Bowl) 250-125'!$P$36:$AA$43,"&gt;" &amp; E17,'Null-1b (Bowl) 250-125'!$P$36:$AA$43,"&lt;=" &amp; F17)</f>
        <v>#REF!</v>
      </c>
      <c r="H17" s="175"/>
      <c r="I17" s="176">
        <v>280</v>
      </c>
      <c r="J17" s="176">
        <v>300</v>
      </c>
      <c r="K17" s="179">
        <f>COUNTIFS('Null-1c (Control) 2000-250'!$P$3:$AA$10,"&gt;" &amp; I17,'Null-1c (Control) 2000-250'!$P$3:$AA$10,"&lt;=" &amp; J17)+COUNTIFS('Null-1c (Control) 250-125'!$P$3:$AA$10,"&gt;" &amp; I17,'Null-1c (Control) 250-125'!$P$3:$AA$10,"&lt;=" &amp; J17)+COUNTIFS('Null-1c (Control) 250-125'!$P$3:$AA$10,"&gt;" &amp; I17,'Null-1c (Control) 250-125'!$P$3:$AA$10,"&lt;=" &amp; J17)</f>
        <v>1</v>
      </c>
      <c r="L17" s="175"/>
      <c r="M17" s="176">
        <v>280</v>
      </c>
      <c r="N17" s="176">
        <v>300</v>
      </c>
      <c r="O17" s="177">
        <f>COUNTIFS('Null-3 2000-500'!$P$3:$AA$10,"&gt;" &amp; M17,'Null-3 2000-500'!$P$3:$AA$10,"&lt;=" &amp; N17)+COUNTIFS('Null-3 500-250'!$P$3:$AA$10,"&gt;" &amp; M17,'Null-3 500-250'!$P$3:$AA$10,"&lt;=" &amp; N17)+COUNTIFS('Null-3 500-250'!$P$14:$AA$21,"&gt;" &amp; M17,'Null-3 500-250'!$P$14:$AA$21,"&lt;=" &amp; N17)+COUNTIFS('Null-3 500-250'!$P$25:$AA$32,"&gt;" &amp; M17,'Null-3 500-250'!$P$25:$AA$32,"&lt;=" &amp; N17)+COUNTIFS('Null-3 500-250'!$P$36:$AA$43,"&gt;" &amp; M17,'Null-3 500-250'!$P$36:$AA$43,"&lt;=" &amp; N17)+COUNTIFS('Null-3 500-250'!$P$47:$AA$54,"&gt;" &amp; M17,'Null-3 500-250'!$P$47:$AA$54,"&lt;=" &amp; N17)+COUNTIFS('Null-3 500-250'!$P$59:$AA$66,"&gt;" &amp; M17,'Null-3 500-250'!$P$59:$AA$66,"&lt;=" &amp; N17)+COUNTIFS('Null-3 125-250'!$P$3:$AA$10,"&gt;" &amp; M17,'Null-3 125-250'!$P$3:$AA$10,"&lt;=" &amp; N17)+COUNTIFS('Null-3 125-250'!$P$15:$AA$22,"&gt;" &amp; M17,'Null-3 125-250'!$P$15:$AA$22,"&lt;=" &amp; N17)+COUNTIFS('Null-3 125-250'!$P$27:$AA$34,"&gt;" &amp; M17,'Null-3 125-250'!$P$27:$AA$34,"&lt;=" &amp; N17)</f>
        <v>7</v>
      </c>
      <c r="P17" s="175"/>
      <c r="Q17" s="176">
        <v>280</v>
      </c>
      <c r="R17" s="176">
        <v>300</v>
      </c>
      <c r="S17" s="177">
        <f>COUNTIFS('Null-6 2000-500'!$P$3:$AA$10,"&gt;" &amp; Q17,'Null-6 2000-500'!$P$3:$AA$10,"&lt;=" &amp; R17)+COUNTIFS('Null-6 2000-500'!$P$15:$AA$22,"&gt;" &amp; Q17,'Null-6 2000-500'!$P$15:$AA$22,"&lt;=" &amp; R17)+COUNTIFS('Null-6 500-250'!$P$3:$AA$10,"&gt;" &amp; Q17,'Null-6 500-250'!$P$3:$AA$10,"&lt;=" &amp; R17)+COUNTIFS('Null-6 500-250'!$P$15:$AA$22,"&gt;" &amp; Q17,'Null-6 500-250'!$P$15:$AA$22,"&lt;=" &amp; R17)+COUNTIFS('Null-6 250-125'!$P$3:$AA$10,"&gt;" &amp; Q17,'Null-6 250-125'!$P$3:$AA$10,"&lt;=" &amp; R17)+COUNTIFS('Null-6 250-125'!$P$16:$AA$23,"&gt;" &amp; Q17,'Null-6 250-125'!$P$16:$AA$23,"&lt;=" &amp; R17)+COUNTIFS('Null-6 250-125'!$P$29:$AA$36,"&gt;" &amp; Q17,'Null-6 250-125'!$P$29:$AA$36,"&lt;=" &amp; R17)</f>
        <v>5</v>
      </c>
      <c r="T17" s="175"/>
      <c r="U17" s="176">
        <v>280</v>
      </c>
      <c r="V17" s="176">
        <v>300</v>
      </c>
      <c r="W17" s="177">
        <f>COUNTIFS('Null-10'!$P$3:$AA$10,"&gt;" &amp; U17,'Null-10'!$P$3:$AA$10,"&lt;=" &amp; V17)+COUNTIFS('Null-10'!$P$16:$AA$23,"&gt;" &amp; U17,'Null-10'!$P$16:$AA$23,"&lt;=" &amp; V17)+COUNTIFS('Null-10'!$P$27:$AA$34,"&gt;" &amp; U17,'Null-10'!$P$27:$AA$34,"&lt;=" &amp; V17)+COUNTIFS('Null-10'!$P$38:$AA$45,"&gt;" &amp; U17,'Null-10'!$P$38:$AA$45,"&lt;=" &amp; V17)+COUNTIFS('Null-10'!$P$49:$AA$56,"&gt;" &amp; U17,'Null-10'!$P$49:$AA$56,"&lt;=" &amp; V17)+COUNTIFS('Null-10'!$P$60:$AA$67,"&gt;" &amp; U17,'Null-10'!$P$60:$AA$67,"&lt;=" &amp; V17)+COUNTIFS('Null-10'!$P$71:$AA$78,"&gt;" &amp; U17,'Null-10'!$P$71:$AA$78,"&lt;=" &amp; V17)+COUNTIFS('Null-10'!$P$83:$AA$90,"&gt;" &amp; U17,'Null-10'!$P$83:$AA$90,"&lt;=" &amp; V17)+COUNTIFS('Null-10'!$P$94:$AA$101,"&gt;" &amp; U17,'Null-10'!$P$94:$AA$101,"&lt;=" &amp; V17)</f>
        <v>5</v>
      </c>
      <c r="X17" s="175"/>
      <c r="Y17" s="176">
        <v>280</v>
      </c>
      <c r="Z17" s="176">
        <v>300</v>
      </c>
      <c r="AA17" s="177">
        <f>COUNTIFS('Null-12 2000-500'!$P$3:$AA$10,"&gt;" &amp; Y17,'Null-12 2000-500'!$P$3:$AA$10,"&lt;=" &amp; Z17)+COUNTIFS('Null-12 500-250'!$P$15:$AA$22,"&gt;" &amp;Y17,'Null-12 500-250'!$P$15:$AA$22,"&lt;=" &amp; Z17)+COUNTIFS('Null-12 500-250'!$P$27:$AA$34,"&gt;" &amp; Y17,'Null-12 500-250'!$P$27:$AA$34,"&lt;=" &amp; Z17)+COUNTIFS('Null-12 500-250'!$P$3:$AA$10,"&gt;" &amp; Y17,'Null-12 500-250'!$P$3:$AA$10,"&lt;=" &amp; Z17)+COUNTIFS('EXP 12 250-125 redo'!$P$3:$AA$10,"&gt;" &amp; Y17,'EXP 12 250-125 redo'!$P$3:$AA$10,"&lt;=" &amp; Z17)</f>
        <v>3</v>
      </c>
      <c r="AB17" s="175"/>
      <c r="AC17" s="176">
        <v>280</v>
      </c>
      <c r="AD17" s="176">
        <v>300</v>
      </c>
      <c r="AE17" s="177" t="e">
        <f t="shared" si="0"/>
        <v>#REF!</v>
      </c>
      <c r="AF17" s="182" t="s">
        <v>672</v>
      </c>
    </row>
    <row r="18" spans="1:32">
      <c r="A18" s="173">
        <v>300</v>
      </c>
      <c r="B18" s="173">
        <v>320</v>
      </c>
      <c r="C18" s="174">
        <f>COUNTIFS('Null-1a (Crack) 2000-500'!$P$3:$AA$10,"&gt;" &amp; A18,'Null-1a (Crack) 2000-500'!$P$3:$AA$10,"&lt;=" &amp; B18)+COUNTIFS('Null-1a (Crack) 500-250'!$P$3:$AA$10,"&gt;" &amp; A18,'Null-1a (Crack) 500-250'!$P$3:$AA$10,"&lt;=" &amp; B18)+COUNTIFS('Null-1a (Crack) 500-250'!$P$15:$AA$22,"&gt;" &amp; A18,'Null-1a (Crack) 500-250'!$P$15:$AA$22,"&lt;=" &amp; B18)+COUNTIFS('Null-1a (Crack) 250-125'!$P$3:AA$10,"&gt;" &amp; A18,'Null-1a (Crack) 250-125'!$P$3:$AA$10,"&lt;=" &amp; B18)</f>
        <v>1</v>
      </c>
      <c r="D18" s="184"/>
      <c r="E18" s="185">
        <v>300</v>
      </c>
      <c r="F18" s="185">
        <v>320</v>
      </c>
      <c r="G18" s="177" t="e">
        <f>COUNTIFS(#REF!,"&gt;" &amp; E18,#REF!,"&lt;=" &amp; F18)+COUNTIFS('Null-1b (Bowl) 500-250'!$P$3:$AA$10,"&gt;" &amp; E18,'Null-1b (Bowl) 500-250'!$P$3:$AA$10,"&lt;=" &amp; F18)+COUNTIFS('Null-1b (Bowl) 500-250'!$P$15:$AA$22,"&gt;" &amp; E18,'Null-1b (Bowl) 500-250'!$P$15:$AA$22,"&lt;=" &amp; F18)+COUNTIFS('Null-1b (Bowl) 500-250'!$P$27:$AA$34,"&gt;" &amp; E18,'Null-1b (Bowl) 500-250'!$P$27:$AA$34,"&lt;=" &amp; F18)+COUNTIFS('Null-1b (Bowl) 250-125'!$P$3:$AA$10,"&gt;" &amp; E18,'Null-1b (Bowl) 250-125'!$P$3:$AA$10,"&lt;=" &amp; F18)+COUNTIFS('Null-1b (Bowl) 250-125'!$P$14:$AA$21,"&gt;" &amp; E18,'Null-1b (Bowl) 250-125'!$P$14:$AA$21,"&lt;=" &amp; F18)+COUNTIFS('Null-1b (Bowl) 250-125'!$P$25:$AA$32,"&gt;" &amp; E18,'Null-1b (Bowl) 250-125'!$P$25:$AA$32,"&lt;=" &amp; F18)+COUNTIFS('Null-1b (Bowl) 250-125'!$P$36:$AA$43,"&gt;" &amp; E18,'Null-1b (Bowl) 250-125'!$P$36:$AA$43,"&lt;=" &amp; F18)</f>
        <v>#REF!</v>
      </c>
      <c r="H18" s="175"/>
      <c r="I18" s="176">
        <v>300</v>
      </c>
      <c r="J18" s="176">
        <v>320</v>
      </c>
      <c r="K18" s="179">
        <f>COUNTIFS('Null-1c (Control) 2000-250'!$P$3:$AA$10,"&gt;" &amp; I18,'Null-1c (Control) 2000-250'!$P$3:$AA$10,"&lt;=" &amp; J18)+COUNTIFS('Null-1c (Control) 250-125'!$P$3:$AA$10,"&gt;" &amp; I18,'Null-1c (Control) 250-125'!$P$3:$AA$10,"&lt;=" &amp; J18)+COUNTIFS('Null-1c (Control) 250-125'!$P$3:$AA$10,"&gt;" &amp; I18,'Null-1c (Control) 250-125'!$P$3:$AA$10,"&lt;=" &amp; J18)</f>
        <v>1</v>
      </c>
      <c r="L18" s="175"/>
      <c r="M18" s="176">
        <v>300</v>
      </c>
      <c r="N18" s="176">
        <v>320</v>
      </c>
      <c r="O18" s="177">
        <f>COUNTIFS('Null-3 2000-500'!$P$3:$AA$10,"&gt;" &amp; M18,'Null-3 2000-500'!$P$3:$AA$10,"&lt;=" &amp; N18)+COUNTIFS('Null-3 500-250'!$P$3:$AA$10,"&gt;" &amp; M18,'Null-3 500-250'!$P$3:$AA$10,"&lt;=" &amp; N18)+COUNTIFS('Null-3 500-250'!$P$14:$AA$21,"&gt;" &amp; M18,'Null-3 500-250'!$P$14:$AA$21,"&lt;=" &amp; N18)+COUNTIFS('Null-3 500-250'!$P$25:$AA$32,"&gt;" &amp; M18,'Null-3 500-250'!$P$25:$AA$32,"&lt;=" &amp; N18)+COUNTIFS('Null-3 500-250'!$P$36:$AA$43,"&gt;" &amp; M18,'Null-3 500-250'!$P$36:$AA$43,"&lt;=" &amp; N18)+COUNTIFS('Null-3 500-250'!$P$47:$AA$54,"&gt;" &amp; M18,'Null-3 500-250'!$P$47:$AA$54,"&lt;=" &amp; N18)+COUNTIFS('Null-3 500-250'!$P$59:$AA$66,"&gt;" &amp; M18,'Null-3 500-250'!$P$59:$AA$66,"&lt;=" &amp; N18)+COUNTIFS('Null-3 125-250'!$P$3:$AA$10,"&gt;" &amp; M18,'Null-3 125-250'!$P$3:$AA$10,"&lt;=" &amp; N18)+COUNTIFS('Null-3 125-250'!$P$15:$AA$22,"&gt;" &amp; M18,'Null-3 125-250'!$P$15:$AA$22,"&lt;=" &amp; N18)+COUNTIFS('Null-3 125-250'!$P$27:$AA$34,"&gt;" &amp; M18,'Null-3 125-250'!$P$27:$AA$34,"&lt;=" &amp; N18)</f>
        <v>2</v>
      </c>
      <c r="P18" s="175"/>
      <c r="Q18" s="176">
        <v>300</v>
      </c>
      <c r="R18" s="176">
        <v>320</v>
      </c>
      <c r="S18" s="177">
        <f>COUNTIFS('Null-6 2000-500'!$P$3:$AA$10,"&gt;" &amp; Q18,'Null-6 2000-500'!$P$3:$AA$10,"&lt;=" &amp; R18)+COUNTIFS('Null-6 2000-500'!$P$15:$AA$22,"&gt;" &amp; Q18,'Null-6 2000-500'!$P$15:$AA$22,"&lt;=" &amp; R18)+COUNTIFS('Null-6 500-250'!$P$3:$AA$10,"&gt;" &amp; Q18,'Null-6 500-250'!$P$3:$AA$10,"&lt;=" &amp; R18)+COUNTIFS('Null-6 500-250'!$P$15:$AA$22,"&gt;" &amp; Q18,'Null-6 500-250'!$P$15:$AA$22,"&lt;=" &amp; R18)+COUNTIFS('Null-6 250-125'!$P$3:$AA$10,"&gt;" &amp; Q18,'Null-6 250-125'!$P$3:$AA$10,"&lt;=" &amp; R18)+COUNTIFS('Null-6 250-125'!$P$16:$AA$23,"&gt;" &amp; Q18,'Null-6 250-125'!$P$16:$AA$23,"&lt;=" &amp; R18)+COUNTIFS('Null-6 250-125'!$P$29:$AA$36,"&gt;" &amp; Q18,'Null-6 250-125'!$P$29:$AA$36,"&lt;=" &amp; R18)</f>
        <v>3</v>
      </c>
      <c r="T18" s="175"/>
      <c r="U18" s="176">
        <v>300</v>
      </c>
      <c r="V18" s="176">
        <v>320</v>
      </c>
      <c r="W18" s="177">
        <f>COUNTIFS('Null-10'!$P$3:$AA$10,"&gt;" &amp; U18,'Null-10'!$P$3:$AA$10,"&lt;=" &amp; V18)+COUNTIFS('Null-10'!$P$16:$AA$23,"&gt;" &amp; U18,'Null-10'!$P$16:$AA$23,"&lt;=" &amp; V18)+COUNTIFS('Null-10'!$P$27:$AA$34,"&gt;" &amp; U18,'Null-10'!$P$27:$AA$34,"&lt;=" &amp; V18)+COUNTIFS('Null-10'!$P$38:$AA$45,"&gt;" &amp; U18,'Null-10'!$P$38:$AA$45,"&lt;=" &amp; V18)+COUNTIFS('Null-10'!$P$49:$AA$56,"&gt;" &amp; U18,'Null-10'!$P$49:$AA$56,"&lt;=" &amp; V18)+COUNTIFS('Null-10'!$P$60:$AA$67,"&gt;" &amp; U18,'Null-10'!$P$60:$AA$67,"&lt;=" &amp; V18)+COUNTIFS('Null-10'!$P$71:$AA$78,"&gt;" &amp; U18,'Null-10'!$P$71:$AA$78,"&lt;=" &amp; V18)+COUNTIFS('Null-10'!$P$83:$AA$90,"&gt;" &amp; U18,'Null-10'!$P$83:$AA$90,"&lt;=" &amp; V18)+COUNTIFS('Null-10'!$P$94:$AA$101,"&gt;" &amp; U18,'Null-10'!$P$94:$AA$101,"&lt;=" &amp; V18)</f>
        <v>2</v>
      </c>
      <c r="X18" s="175"/>
      <c r="Y18" s="176">
        <v>300</v>
      </c>
      <c r="Z18" s="176">
        <v>320</v>
      </c>
      <c r="AA18" s="177">
        <f>COUNTIFS('Null-12 2000-500'!$P$3:$AA$10,"&gt;" &amp; Y18,'Null-12 2000-500'!$P$3:$AA$10,"&lt;=" &amp; Z18)+COUNTIFS('Null-12 500-250'!$P$15:$AA$22,"&gt;" &amp;Y18,'Null-12 500-250'!$P$15:$AA$22,"&lt;=" &amp; Z18)+COUNTIFS('Null-12 500-250'!$P$27:$AA$34,"&gt;" &amp; Y18,'Null-12 500-250'!$P$27:$AA$34,"&lt;=" &amp; Z18)+COUNTIFS('Null-12 500-250'!$P$3:$AA$10,"&gt;" &amp; Y18,'Null-12 500-250'!$P$3:$AA$10,"&lt;=" &amp; Z18)+COUNTIFS('EXP 12 250-125 redo'!$P$3:$AA$10,"&gt;" &amp; Y18,'EXP 12 250-125 redo'!$P$3:$AA$10,"&lt;=" &amp; Z18)</f>
        <v>3</v>
      </c>
      <c r="AB18" s="175"/>
      <c r="AC18" s="176">
        <v>300</v>
      </c>
      <c r="AD18" s="176">
        <v>320</v>
      </c>
      <c r="AE18" s="177" t="e">
        <f t="shared" si="0"/>
        <v>#REF!</v>
      </c>
      <c r="AF18" s="182" t="s">
        <v>673</v>
      </c>
    </row>
    <row r="19" spans="1:32">
      <c r="A19" s="173">
        <v>320</v>
      </c>
      <c r="B19" s="173">
        <v>340</v>
      </c>
      <c r="C19" s="174">
        <f>COUNTIFS('Null-1a (Crack) 2000-500'!$P$3:$AA$10,"&gt;" &amp; A19,'Null-1a (Crack) 2000-500'!$P$3:$AA$10,"&lt;=" &amp; B19)+COUNTIFS('Null-1a (Crack) 500-250'!$P$3:$AA$10,"&gt;" &amp; A19,'Null-1a (Crack) 500-250'!$P$3:$AA$10,"&lt;=" &amp; B19)+COUNTIFS('Null-1a (Crack) 500-250'!$P$15:$AA$22,"&gt;" &amp; A19,'Null-1a (Crack) 500-250'!$P$15:$AA$22,"&lt;=" &amp; B19)+COUNTIFS('Null-1a (Crack) 250-125'!$P$3:AA$10,"&gt;" &amp; A19,'Null-1a (Crack) 250-125'!$P$3:$AA$10,"&lt;=" &amp; B19)</f>
        <v>0</v>
      </c>
      <c r="D19" s="184"/>
      <c r="E19" s="185">
        <v>320</v>
      </c>
      <c r="F19" s="185">
        <v>340</v>
      </c>
      <c r="G19" s="177" t="e">
        <f>COUNTIFS(#REF!,"&gt;" &amp; E19,#REF!,"&lt;=" &amp; F19)+COUNTIFS('Null-1b (Bowl) 500-250'!$P$3:$AA$10,"&gt;" &amp; E19,'Null-1b (Bowl) 500-250'!$P$3:$AA$10,"&lt;=" &amp; F19)+COUNTIFS('Null-1b (Bowl) 500-250'!$P$15:$AA$22,"&gt;" &amp; E19,'Null-1b (Bowl) 500-250'!$P$15:$AA$22,"&lt;=" &amp; F19)+COUNTIFS('Null-1b (Bowl) 500-250'!$P$27:$AA$34,"&gt;" &amp; E19,'Null-1b (Bowl) 500-250'!$P$27:$AA$34,"&lt;=" &amp; F19)+COUNTIFS('Null-1b (Bowl) 250-125'!$P$3:$AA$10,"&gt;" &amp; E19,'Null-1b (Bowl) 250-125'!$P$3:$AA$10,"&lt;=" &amp; F19)+COUNTIFS('Null-1b (Bowl) 250-125'!$P$14:$AA$21,"&gt;" &amp; E19,'Null-1b (Bowl) 250-125'!$P$14:$AA$21,"&lt;=" &amp; F19)+COUNTIFS('Null-1b (Bowl) 250-125'!$P$25:$AA$32,"&gt;" &amp; E19,'Null-1b (Bowl) 250-125'!$P$25:$AA$32,"&lt;=" &amp; F19)+COUNTIFS('Null-1b (Bowl) 250-125'!$P$36:$AA$43,"&gt;" &amp; E19,'Null-1b (Bowl) 250-125'!$P$36:$AA$43,"&lt;=" &amp; F19)</f>
        <v>#REF!</v>
      </c>
      <c r="H19" s="175"/>
      <c r="I19" s="178">
        <v>320</v>
      </c>
      <c r="J19" s="181">
        <v>340</v>
      </c>
      <c r="K19" s="179">
        <f>COUNTIFS('Null-1c (Control) 2000-250'!$P$3:$AA$10,"&gt;" &amp; I19,'Null-1c (Control) 2000-250'!$P$3:$AA$10,"&lt;=" &amp; J19)+COUNTIFS('Null-1c (Control) 250-125'!$P$3:$AA$10,"&gt;" &amp; I19,'Null-1c (Control) 250-125'!$P$3:$AA$10,"&lt;=" &amp; J19)+COUNTIFS('Null-1c (Control) 250-125'!$P$3:$AA$10,"&gt;" &amp; I19,'Null-1c (Control) 250-125'!$P$3:$AA$10,"&lt;=" &amp; J19)</f>
        <v>0</v>
      </c>
      <c r="L19" s="180"/>
      <c r="M19" s="181">
        <v>320</v>
      </c>
      <c r="N19" s="176">
        <v>340</v>
      </c>
      <c r="O19" s="177">
        <f>COUNTIFS('Null-3 2000-500'!$P$3:$AA$10,"&gt;" &amp; M19,'Null-3 2000-500'!$P$3:$AA$10,"&lt;=" &amp; N19)+COUNTIFS('Null-3 500-250'!$P$3:$AA$10,"&gt;" &amp; M19,'Null-3 500-250'!$P$3:$AA$10,"&lt;=" &amp; N19)+COUNTIFS('Null-3 500-250'!$P$14:$AA$21,"&gt;" &amp; M19,'Null-3 500-250'!$P$14:$AA$21,"&lt;=" &amp; N19)+COUNTIFS('Null-3 500-250'!$P$25:$AA$32,"&gt;" &amp; M19,'Null-3 500-250'!$P$25:$AA$32,"&lt;=" &amp; N19)+COUNTIFS('Null-3 500-250'!$P$36:$AA$43,"&gt;" &amp; M19,'Null-3 500-250'!$P$36:$AA$43,"&lt;=" &amp; N19)+COUNTIFS('Null-3 500-250'!$P$47:$AA$54,"&gt;" &amp; M19,'Null-3 500-250'!$P$47:$AA$54,"&lt;=" &amp; N19)+COUNTIFS('Null-3 500-250'!$P$59:$AA$66,"&gt;" &amp; M19,'Null-3 500-250'!$P$59:$AA$66,"&lt;=" &amp; N19)+COUNTIFS('Null-3 125-250'!$P$3:$AA$10,"&gt;" &amp; M19,'Null-3 125-250'!$P$3:$AA$10,"&lt;=" &amp; N19)+COUNTIFS('Null-3 125-250'!$P$15:$AA$22,"&gt;" &amp; M19,'Null-3 125-250'!$P$15:$AA$22,"&lt;=" &amp; N19)+COUNTIFS('Null-3 125-250'!$P$27:$AA$34,"&gt;" &amp; M19,'Null-3 125-250'!$P$27:$AA$34,"&lt;=" &amp; N19)</f>
        <v>2</v>
      </c>
      <c r="P19" s="175"/>
      <c r="Q19" s="176">
        <v>320</v>
      </c>
      <c r="R19" s="176">
        <v>340</v>
      </c>
      <c r="S19" s="177">
        <f>COUNTIFS('Null-6 2000-500'!$P$3:$AA$10,"&gt;" &amp; Q19,'Null-6 2000-500'!$P$3:$AA$10,"&lt;=" &amp; R19)+COUNTIFS('Null-6 2000-500'!$P$15:$AA$22,"&gt;" &amp; Q19,'Null-6 2000-500'!$P$15:$AA$22,"&lt;=" &amp; R19)+COUNTIFS('Null-6 500-250'!$P$3:$AA$10,"&gt;" &amp; Q19,'Null-6 500-250'!$P$3:$AA$10,"&lt;=" &amp; R19)+COUNTIFS('Null-6 500-250'!$P$15:$AA$22,"&gt;" &amp; Q19,'Null-6 500-250'!$P$15:$AA$22,"&lt;=" &amp; R19)+COUNTIFS('Null-6 250-125'!$P$3:$AA$10,"&gt;" &amp; Q19,'Null-6 250-125'!$P$3:$AA$10,"&lt;=" &amp; R19)+COUNTIFS('Null-6 250-125'!$P$16:$AA$23,"&gt;" &amp; Q19,'Null-6 250-125'!$P$16:$AA$23,"&lt;=" &amp; R19)+COUNTIFS('Null-6 250-125'!$P$29:$AA$36,"&gt;" &amp; Q19,'Null-6 250-125'!$P$29:$AA$36,"&lt;=" &amp; R19)</f>
        <v>1</v>
      </c>
      <c r="T19" s="175"/>
      <c r="U19" s="176">
        <v>320</v>
      </c>
      <c r="V19" s="176">
        <v>340</v>
      </c>
      <c r="W19" s="177">
        <f>COUNTIFS('Null-10'!$P$3:$AA$10,"&gt;" &amp; U19,'Null-10'!$P$3:$AA$10,"&lt;=" &amp; V19)+COUNTIFS('Null-10'!$P$16:$AA$23,"&gt;" &amp; U19,'Null-10'!$P$16:$AA$23,"&lt;=" &amp; V19)+COUNTIFS('Null-10'!$P$27:$AA$34,"&gt;" &amp; U19,'Null-10'!$P$27:$AA$34,"&lt;=" &amp; V19)+COUNTIFS('Null-10'!$P$38:$AA$45,"&gt;" &amp; U19,'Null-10'!$P$38:$AA$45,"&lt;=" &amp; V19)+COUNTIFS('Null-10'!$P$49:$AA$56,"&gt;" &amp; U19,'Null-10'!$P$49:$AA$56,"&lt;=" &amp; V19)+COUNTIFS('Null-10'!$P$60:$AA$67,"&gt;" &amp; U19,'Null-10'!$P$60:$AA$67,"&lt;=" &amp; V19)+COUNTIFS('Null-10'!$P$71:$AA$78,"&gt;" &amp; U19,'Null-10'!$P$71:$AA$78,"&lt;=" &amp; V19)+COUNTIFS('Null-10'!$P$83:$AA$90,"&gt;" &amp; U19,'Null-10'!$P$83:$AA$90,"&lt;=" &amp; V19)+COUNTIFS('Null-10'!$P$94:$AA$101,"&gt;" &amp; U19,'Null-10'!$P$94:$AA$101,"&lt;=" &amp; V19)</f>
        <v>2</v>
      </c>
      <c r="X19" s="175"/>
      <c r="Y19" s="176">
        <v>320</v>
      </c>
      <c r="Z19" s="176">
        <v>340</v>
      </c>
      <c r="AA19" s="177">
        <f>COUNTIFS('Null-12 2000-500'!$P$3:$AA$10,"&gt;" &amp; Y19,'Null-12 2000-500'!$P$3:$AA$10,"&lt;=" &amp; Z19)+COUNTIFS('Null-12 500-250'!$P$15:$AA$22,"&gt;" &amp;Y19,'Null-12 500-250'!$P$15:$AA$22,"&lt;=" &amp; Z19)+COUNTIFS('Null-12 500-250'!$P$27:$AA$34,"&gt;" &amp; Y19,'Null-12 500-250'!$P$27:$AA$34,"&lt;=" &amp; Z19)+COUNTIFS('Null-12 500-250'!$P$3:$AA$10,"&gt;" &amp; Y19,'Null-12 500-250'!$P$3:$AA$10,"&lt;=" &amp; Z19)+COUNTIFS('EXP 12 250-125 redo'!$P$3:$AA$10,"&gt;" &amp; Y19,'EXP 12 250-125 redo'!$P$3:$AA$10,"&lt;=" &amp; Z19)</f>
        <v>3</v>
      </c>
      <c r="AB19" s="175"/>
      <c r="AC19" s="176">
        <v>320</v>
      </c>
      <c r="AD19" s="176">
        <v>340</v>
      </c>
      <c r="AE19" s="177" t="e">
        <f t="shared" si="0"/>
        <v>#REF!</v>
      </c>
      <c r="AF19" s="182" t="s">
        <v>674</v>
      </c>
    </row>
    <row r="20" spans="1:32">
      <c r="A20" s="173">
        <v>340</v>
      </c>
      <c r="B20" s="173">
        <v>360</v>
      </c>
      <c r="C20" s="174">
        <f>COUNTIFS('Null-1a (Crack) 2000-500'!$P$3:$AA$10,"&gt;" &amp; A20,'Null-1a (Crack) 2000-500'!$P$3:$AA$10,"&lt;=" &amp; B20)+COUNTIFS('Null-1a (Crack) 500-250'!$P$3:$AA$10,"&gt;" &amp; A20,'Null-1a (Crack) 500-250'!$P$3:$AA$10,"&lt;=" &amp; B20)+COUNTIFS('Null-1a (Crack) 500-250'!$P$15:$AA$22,"&gt;" &amp; A20,'Null-1a (Crack) 500-250'!$P$15:$AA$22,"&lt;=" &amp; B20)+COUNTIFS('Null-1a (Crack) 250-125'!$P$3:AA$10,"&gt;" &amp; A20,'Null-1a (Crack) 250-125'!$P$3:$AA$10,"&lt;=" &amp; B20)</f>
        <v>0</v>
      </c>
      <c r="D20" s="184"/>
      <c r="E20" s="185">
        <v>340</v>
      </c>
      <c r="F20" s="185">
        <v>360</v>
      </c>
      <c r="G20" s="177" t="e">
        <f>COUNTIFS(#REF!,"&gt;" &amp; E20,#REF!,"&lt;=" &amp; F20)+COUNTIFS('Null-1b (Bowl) 500-250'!$P$3:$AA$10,"&gt;" &amp; E20,'Null-1b (Bowl) 500-250'!$P$3:$AA$10,"&lt;=" &amp; F20)+COUNTIFS('Null-1b (Bowl) 500-250'!$P$15:$AA$22,"&gt;" &amp; E20,'Null-1b (Bowl) 500-250'!$P$15:$AA$22,"&lt;=" &amp; F20)+COUNTIFS('Null-1b (Bowl) 500-250'!$P$27:$AA$34,"&gt;" &amp; E20,'Null-1b (Bowl) 500-250'!$P$27:$AA$34,"&lt;=" &amp; F20)+COUNTIFS('Null-1b (Bowl) 250-125'!$P$3:$AA$10,"&gt;" &amp; E20,'Null-1b (Bowl) 250-125'!$P$3:$AA$10,"&lt;=" &amp; F20)+COUNTIFS('Null-1b (Bowl) 250-125'!$P$14:$AA$21,"&gt;" &amp; E20,'Null-1b (Bowl) 250-125'!$P$14:$AA$21,"&lt;=" &amp; F20)+COUNTIFS('Null-1b (Bowl) 250-125'!$P$25:$AA$32,"&gt;" &amp; E20,'Null-1b (Bowl) 250-125'!$P$25:$AA$32,"&lt;=" &amp; F20)+COUNTIFS('Null-1b (Bowl) 250-125'!$P$36:$AA$43,"&gt;" &amp; E20,'Null-1b (Bowl) 250-125'!$P$36:$AA$43,"&lt;=" &amp; F20)</f>
        <v>#REF!</v>
      </c>
      <c r="H20" s="175"/>
      <c r="I20" s="178">
        <v>340</v>
      </c>
      <c r="J20" s="178">
        <v>360</v>
      </c>
      <c r="K20" s="179">
        <f>COUNTIFS('Null-1c (Control) 2000-250'!$P$3:$AA$10,"&gt;" &amp; I20,'Null-1c (Control) 2000-250'!$P$3:$AA$10,"&lt;=" &amp; J20)+COUNTIFS('Null-1c (Control) 250-125'!$P$3:$AA$10,"&gt;" &amp; I20,'Null-1c (Control) 250-125'!$P$3:$AA$10,"&lt;=" &amp; J20)+COUNTIFS('Null-1c (Control) 250-125'!$P$3:$AA$10,"&gt;" &amp; I20,'Null-1c (Control) 250-125'!$P$3:$AA$10,"&lt;=" &amp; J20)</f>
        <v>0</v>
      </c>
      <c r="L20" s="183"/>
      <c r="M20" s="178">
        <v>340</v>
      </c>
      <c r="N20" s="176">
        <v>360</v>
      </c>
      <c r="O20" s="177">
        <f>COUNTIFS('Null-3 2000-500'!$P$3:$AA$10,"&gt;" &amp; M20,'Null-3 2000-500'!$P$3:$AA$10,"&lt;=" &amp; N20)+COUNTIFS('Null-3 500-250'!$P$3:$AA$10,"&gt;" &amp; M20,'Null-3 500-250'!$P$3:$AA$10,"&lt;=" &amp; N20)+COUNTIFS('Null-3 500-250'!$P$14:$AA$21,"&gt;" &amp; M20,'Null-3 500-250'!$P$14:$AA$21,"&lt;=" &amp; N20)+COUNTIFS('Null-3 500-250'!$P$25:$AA$32,"&gt;" &amp; M20,'Null-3 500-250'!$P$25:$AA$32,"&lt;=" &amp; N20)+COUNTIFS('Null-3 500-250'!$P$36:$AA$43,"&gt;" &amp; M20,'Null-3 500-250'!$P$36:$AA$43,"&lt;=" &amp; N20)+COUNTIFS('Null-3 500-250'!$P$47:$AA$54,"&gt;" &amp; M20,'Null-3 500-250'!$P$47:$AA$54,"&lt;=" &amp; N20)+COUNTIFS('Null-3 500-250'!$P$59:$AA$66,"&gt;" &amp; M20,'Null-3 500-250'!$P$59:$AA$66,"&lt;=" &amp; N20)+COUNTIFS('Null-3 125-250'!$P$3:$AA$10,"&gt;" &amp; M20,'Null-3 125-250'!$P$3:$AA$10,"&lt;=" &amp; N20)+COUNTIFS('Null-3 125-250'!$P$15:$AA$22,"&gt;" &amp; M20,'Null-3 125-250'!$P$15:$AA$22,"&lt;=" &amp; N20)+COUNTIFS('Null-3 125-250'!$P$27:$AA$34,"&gt;" &amp; M20,'Null-3 125-250'!$P$27:$AA$34,"&lt;=" &amp; N20)</f>
        <v>2</v>
      </c>
      <c r="P20" s="175"/>
      <c r="Q20" s="176">
        <v>340</v>
      </c>
      <c r="R20" s="176">
        <v>360</v>
      </c>
      <c r="S20" s="177">
        <f>COUNTIFS('Null-6 2000-500'!$P$3:$AA$10,"&gt;" &amp; Q20,'Null-6 2000-500'!$P$3:$AA$10,"&lt;=" &amp; R20)+COUNTIFS('Null-6 2000-500'!$P$15:$AA$22,"&gt;" &amp; Q20,'Null-6 2000-500'!$P$15:$AA$22,"&lt;=" &amp; R20)+COUNTIFS('Null-6 500-250'!$P$3:$AA$10,"&gt;" &amp; Q20,'Null-6 500-250'!$P$3:$AA$10,"&lt;=" &amp; R20)+COUNTIFS('Null-6 500-250'!$P$15:$AA$22,"&gt;" &amp; Q20,'Null-6 500-250'!$P$15:$AA$22,"&lt;=" &amp; R20)+COUNTIFS('Null-6 250-125'!$P$3:$AA$10,"&gt;" &amp; Q20,'Null-6 250-125'!$P$3:$AA$10,"&lt;=" &amp; R20)+COUNTIFS('Null-6 250-125'!$P$16:$AA$23,"&gt;" &amp; Q20,'Null-6 250-125'!$P$16:$AA$23,"&lt;=" &amp; R20)+COUNTIFS('Null-6 250-125'!$P$29:$AA$36,"&gt;" &amp; Q20,'Null-6 250-125'!$P$29:$AA$36,"&lt;=" &amp; R20)</f>
        <v>1</v>
      </c>
      <c r="T20" s="175"/>
      <c r="U20" s="176">
        <v>340</v>
      </c>
      <c r="V20" s="176">
        <v>360</v>
      </c>
      <c r="W20" s="177">
        <f>COUNTIFS('Null-10'!$P$3:$AA$10,"&gt;" &amp; U20,'Null-10'!$P$3:$AA$10,"&lt;=" &amp; V20)+COUNTIFS('Null-10'!$P$16:$AA$23,"&gt;" &amp; U20,'Null-10'!$P$16:$AA$23,"&lt;=" &amp; V20)+COUNTIFS('Null-10'!$P$27:$AA$34,"&gt;" &amp; U20,'Null-10'!$P$27:$AA$34,"&lt;=" &amp; V20)+COUNTIFS('Null-10'!$P$38:$AA$45,"&gt;" &amp; U20,'Null-10'!$P$38:$AA$45,"&lt;=" &amp; V20)+COUNTIFS('Null-10'!$P$49:$AA$56,"&gt;" &amp; U20,'Null-10'!$P$49:$AA$56,"&lt;=" &amp; V20)+COUNTIFS('Null-10'!$P$60:$AA$67,"&gt;" &amp; U20,'Null-10'!$P$60:$AA$67,"&lt;=" &amp; V20)+COUNTIFS('Null-10'!$P$71:$AA$78,"&gt;" &amp; U20,'Null-10'!$P$71:$AA$78,"&lt;=" &amp; V20)+COUNTIFS('Null-10'!$P$83:$AA$90,"&gt;" &amp; U20,'Null-10'!$P$83:$AA$90,"&lt;=" &amp; V20)+COUNTIFS('Null-10'!$P$94:$AA$101,"&gt;" &amp; U20,'Null-10'!$P$94:$AA$101,"&lt;=" &amp; V20)</f>
        <v>2</v>
      </c>
      <c r="X20" s="175"/>
      <c r="Y20" s="176">
        <v>340</v>
      </c>
      <c r="Z20" s="176">
        <v>360</v>
      </c>
      <c r="AA20" s="177">
        <f>COUNTIFS('Null-12 2000-500'!$P$3:$AA$10,"&gt;" &amp; Y20,'Null-12 2000-500'!$P$3:$AA$10,"&lt;=" &amp; Z20)+COUNTIFS('Null-12 500-250'!$P$15:$AA$22,"&gt;" &amp;Y20,'Null-12 500-250'!$P$15:$AA$22,"&lt;=" &amp; Z20)+COUNTIFS('Null-12 500-250'!$P$27:$AA$34,"&gt;" &amp; Y20,'Null-12 500-250'!$P$27:$AA$34,"&lt;=" &amp; Z20)+COUNTIFS('Null-12 500-250'!$P$3:$AA$10,"&gt;" &amp; Y20,'Null-12 500-250'!$P$3:$AA$10,"&lt;=" &amp; Z20)+COUNTIFS('EXP 12 250-125 redo'!$P$3:$AA$10,"&gt;" &amp; Y20,'EXP 12 250-125 redo'!$P$3:$AA$10,"&lt;=" &amp; Z20)</f>
        <v>1</v>
      </c>
      <c r="AB20" s="175"/>
      <c r="AC20" s="176">
        <v>340</v>
      </c>
      <c r="AD20" s="176">
        <v>360</v>
      </c>
      <c r="AE20" s="177" t="e">
        <f t="shared" si="0"/>
        <v>#REF!</v>
      </c>
      <c r="AF20" s="182" t="s">
        <v>675</v>
      </c>
    </row>
    <row r="21" spans="1:32">
      <c r="A21" s="173">
        <v>360</v>
      </c>
      <c r="B21" s="173">
        <v>380</v>
      </c>
      <c r="C21" s="174">
        <f>COUNTIFS('Null-1a (Crack) 2000-500'!$P$3:$AA$10,"&gt;" &amp; A21,'Null-1a (Crack) 2000-500'!$P$3:$AA$10,"&lt;=" &amp; B21)+COUNTIFS('Null-1a (Crack) 500-250'!$P$3:$AA$10,"&gt;" &amp; A21,'Null-1a (Crack) 500-250'!$P$3:$AA$10,"&lt;=" &amp; B21)+COUNTIFS('Null-1a (Crack) 500-250'!$P$15:$AA$22,"&gt;" &amp; A21,'Null-1a (Crack) 500-250'!$P$15:$AA$22,"&lt;=" &amp; B21)+COUNTIFS('Null-1a (Crack) 250-125'!$P$3:AA$10,"&gt;" &amp; A21,'Null-1a (Crack) 250-125'!$P$3:$AA$10,"&lt;=" &amp; B21)</f>
        <v>0</v>
      </c>
      <c r="D21" s="184"/>
      <c r="E21" s="185">
        <v>360</v>
      </c>
      <c r="F21" s="185">
        <v>380</v>
      </c>
      <c r="G21" s="177" t="e">
        <f>COUNTIFS(#REF!,"&gt;" &amp; E21,#REF!,"&lt;=" &amp; F21)+COUNTIFS('Null-1b (Bowl) 500-250'!$P$3:$AA$10,"&gt;" &amp; E21,'Null-1b (Bowl) 500-250'!$P$3:$AA$10,"&lt;=" &amp; F21)+COUNTIFS('Null-1b (Bowl) 500-250'!$P$15:$AA$22,"&gt;" &amp; E21,'Null-1b (Bowl) 500-250'!$P$15:$AA$22,"&lt;=" &amp; F21)+COUNTIFS('Null-1b (Bowl) 500-250'!$P$27:$AA$34,"&gt;" &amp; E21,'Null-1b (Bowl) 500-250'!$P$27:$AA$34,"&lt;=" &amp; F21)+COUNTIFS('Null-1b (Bowl) 250-125'!$P$3:$AA$10,"&gt;" &amp; E21,'Null-1b (Bowl) 250-125'!$P$3:$AA$10,"&lt;=" &amp; F21)+COUNTIFS('Null-1b (Bowl) 250-125'!$P$14:$AA$21,"&gt;" &amp; E21,'Null-1b (Bowl) 250-125'!$P$14:$AA$21,"&lt;=" &amp; F21)+COUNTIFS('Null-1b (Bowl) 250-125'!$P$25:$AA$32,"&gt;" &amp; E21,'Null-1b (Bowl) 250-125'!$P$25:$AA$32,"&lt;=" &amp; F21)+COUNTIFS('Null-1b (Bowl) 250-125'!$P$36:$AA$43,"&gt;" &amp; E21,'Null-1b (Bowl) 250-125'!$P$36:$AA$43,"&lt;=" &amp; F21)</f>
        <v>#REF!</v>
      </c>
      <c r="H21" s="175"/>
      <c r="I21" s="178">
        <v>360</v>
      </c>
      <c r="J21" s="178">
        <v>380</v>
      </c>
      <c r="K21" s="179">
        <f>COUNTIFS('Null-1c (Control) 2000-250'!$P$3:$AA$10,"&gt;" &amp; I21,'Null-1c (Control) 2000-250'!$P$3:$AA$10,"&lt;=" &amp; J21)+COUNTIFS('Null-1c (Control) 250-125'!$P$3:$AA$10,"&gt;" &amp; I21,'Null-1c (Control) 250-125'!$P$3:$AA$10,"&lt;=" &amp; J21)+COUNTIFS('Null-1c (Control) 250-125'!$P$3:$AA$10,"&gt;" &amp; I21,'Null-1c (Control) 250-125'!$P$3:$AA$10,"&lt;=" &amp; J21)</f>
        <v>0</v>
      </c>
      <c r="L21" s="183"/>
      <c r="M21" s="178">
        <v>360</v>
      </c>
      <c r="N21" s="176">
        <v>380</v>
      </c>
      <c r="O21" s="177">
        <f>COUNTIFS('Null-3 2000-500'!$P$3:$AA$10,"&gt;" &amp; M21,'Null-3 2000-500'!$P$3:$AA$10,"&lt;=" &amp; N21)+COUNTIFS('Null-3 500-250'!$P$3:$AA$10,"&gt;" &amp; M21,'Null-3 500-250'!$P$3:$AA$10,"&lt;=" &amp; N21)+COUNTIFS('Null-3 500-250'!$P$14:$AA$21,"&gt;" &amp; M21,'Null-3 500-250'!$P$14:$AA$21,"&lt;=" &amp; N21)+COUNTIFS('Null-3 500-250'!$P$25:$AA$32,"&gt;" &amp; M21,'Null-3 500-250'!$P$25:$AA$32,"&lt;=" &amp; N21)+COUNTIFS('Null-3 500-250'!$P$36:$AA$43,"&gt;" &amp; M21,'Null-3 500-250'!$P$36:$AA$43,"&lt;=" &amp; N21)+COUNTIFS('Null-3 500-250'!$P$47:$AA$54,"&gt;" &amp; M21,'Null-3 500-250'!$P$47:$AA$54,"&lt;=" &amp; N21)+COUNTIFS('Null-3 500-250'!$P$59:$AA$66,"&gt;" &amp; M21,'Null-3 500-250'!$P$59:$AA$66,"&lt;=" &amp; N21)+COUNTIFS('Null-3 125-250'!$P$3:$AA$10,"&gt;" &amp; M21,'Null-3 125-250'!$P$3:$AA$10,"&lt;=" &amp; N21)+COUNTIFS('Null-3 125-250'!$P$15:$AA$22,"&gt;" &amp; M21,'Null-3 125-250'!$P$15:$AA$22,"&lt;=" &amp; N21)+COUNTIFS('Null-3 125-250'!$P$27:$AA$34,"&gt;" &amp; M21,'Null-3 125-250'!$P$27:$AA$34,"&lt;=" &amp; N21)</f>
        <v>2</v>
      </c>
      <c r="P21" s="175"/>
      <c r="Q21" s="176">
        <v>360</v>
      </c>
      <c r="R21" s="176">
        <v>380</v>
      </c>
      <c r="S21" s="177">
        <f>COUNTIFS('Null-6 2000-500'!$P$3:$AA$10,"&gt;" &amp; Q21,'Null-6 2000-500'!$P$3:$AA$10,"&lt;=" &amp; R21)+COUNTIFS('Null-6 2000-500'!$P$15:$AA$22,"&gt;" &amp; Q21,'Null-6 2000-500'!$P$15:$AA$22,"&lt;=" &amp; R21)+COUNTIFS('Null-6 500-250'!$P$3:$AA$10,"&gt;" &amp; Q21,'Null-6 500-250'!$P$3:$AA$10,"&lt;=" &amp; R21)+COUNTIFS('Null-6 500-250'!$P$15:$AA$22,"&gt;" &amp; Q21,'Null-6 500-250'!$P$15:$AA$22,"&lt;=" &amp; R21)+COUNTIFS('Null-6 250-125'!$P$3:$AA$10,"&gt;" &amp; Q21,'Null-6 250-125'!$P$3:$AA$10,"&lt;=" &amp; R21)+COUNTIFS('Null-6 250-125'!$P$16:$AA$23,"&gt;" &amp; Q21,'Null-6 250-125'!$P$16:$AA$23,"&lt;=" &amp; R21)+COUNTIFS('Null-6 250-125'!$P$29:$AA$36,"&gt;" &amp; Q21,'Null-6 250-125'!$P$29:$AA$36,"&lt;=" &amp; R21)</f>
        <v>0</v>
      </c>
      <c r="T21" s="175"/>
      <c r="U21" s="176">
        <v>360</v>
      </c>
      <c r="V21" s="176">
        <v>380</v>
      </c>
      <c r="W21" s="177">
        <f>COUNTIFS('Null-10'!$P$3:$AA$10,"&gt;" &amp; U21,'Null-10'!$P$3:$AA$10,"&lt;=" &amp; V21)+COUNTIFS('Null-10'!$P$16:$AA$23,"&gt;" &amp; U21,'Null-10'!$P$16:$AA$23,"&lt;=" &amp; V21)+COUNTIFS('Null-10'!$P$27:$AA$34,"&gt;" &amp; U21,'Null-10'!$P$27:$AA$34,"&lt;=" &amp; V21)+COUNTIFS('Null-10'!$P$38:$AA$45,"&gt;" &amp; U21,'Null-10'!$P$38:$AA$45,"&lt;=" &amp; V21)+COUNTIFS('Null-10'!$P$49:$AA$56,"&gt;" &amp; U21,'Null-10'!$P$49:$AA$56,"&lt;=" &amp; V21)+COUNTIFS('Null-10'!$P$60:$AA$67,"&gt;" &amp; U21,'Null-10'!$P$60:$AA$67,"&lt;=" &amp; V21)+COUNTIFS('Null-10'!$P$71:$AA$78,"&gt;" &amp; U21,'Null-10'!$P$71:$AA$78,"&lt;=" &amp; V21)+COUNTIFS('Null-10'!$P$83:$AA$90,"&gt;" &amp; U21,'Null-10'!$P$83:$AA$90,"&lt;=" &amp; V21)+COUNTIFS('Null-10'!$P$94:$AA$101,"&gt;" &amp; U21,'Null-10'!$P$94:$AA$101,"&lt;=" &amp; V21)</f>
        <v>3</v>
      </c>
      <c r="X21" s="175"/>
      <c r="Y21" s="176">
        <v>360</v>
      </c>
      <c r="Z21" s="176">
        <v>380</v>
      </c>
      <c r="AA21" s="177">
        <f>COUNTIFS('Null-12 2000-500'!$P$3:$AA$10,"&gt;" &amp; Y21,'Null-12 2000-500'!$P$3:$AA$10,"&lt;=" &amp; Z21)+COUNTIFS('Null-12 500-250'!$P$15:$AA$22,"&gt;" &amp;Y21,'Null-12 500-250'!$P$15:$AA$22,"&lt;=" &amp; Z21)+COUNTIFS('Null-12 500-250'!$P$27:$AA$34,"&gt;" &amp; Y21,'Null-12 500-250'!$P$27:$AA$34,"&lt;=" &amp; Z21)+COUNTIFS('Null-12 500-250'!$P$3:$AA$10,"&gt;" &amp; Y21,'Null-12 500-250'!$P$3:$AA$10,"&lt;=" &amp; Z21)+COUNTIFS('EXP 12 250-125 redo'!$P$3:$AA$10,"&gt;" &amp; Y21,'EXP 12 250-125 redo'!$P$3:$AA$10,"&lt;=" &amp; Z21)</f>
        <v>2</v>
      </c>
      <c r="AB21" s="175"/>
      <c r="AC21" s="176">
        <v>360</v>
      </c>
      <c r="AD21" s="176">
        <v>380</v>
      </c>
      <c r="AE21" s="177" t="e">
        <f t="shared" si="0"/>
        <v>#REF!</v>
      </c>
      <c r="AF21" s="182" t="s">
        <v>676</v>
      </c>
    </row>
    <row r="22" spans="1:32">
      <c r="A22" s="173">
        <v>380</v>
      </c>
      <c r="B22" s="173">
        <v>400</v>
      </c>
      <c r="C22" s="174">
        <f>COUNTIFS('Null-1a (Crack) 2000-500'!$P$3:$AA$10,"&gt;" &amp; A22,'Null-1a (Crack) 2000-500'!$P$3:$AA$10,"&lt;=" &amp; B22)+COUNTIFS('Null-1a (Crack) 500-250'!$P$3:$AA$10,"&gt;" &amp; A22,'Null-1a (Crack) 500-250'!$P$3:$AA$10,"&lt;=" &amp; B22)+COUNTIFS('Null-1a (Crack) 500-250'!$P$15:$AA$22,"&gt;" &amp; A22,'Null-1a (Crack) 500-250'!$P$15:$AA$22,"&lt;=" &amp; B22)+COUNTIFS('Null-1a (Crack) 250-125'!$P$3:AA$10,"&gt;" &amp; A22,'Null-1a (Crack) 250-125'!$P$3:$AA$10,"&lt;=" &amp; B22)</f>
        <v>0</v>
      </c>
      <c r="D22" s="175"/>
      <c r="E22" s="176">
        <v>380</v>
      </c>
      <c r="F22" s="176">
        <v>400</v>
      </c>
      <c r="G22" s="177" t="e">
        <f>COUNTIFS(#REF!,"&gt;" &amp; E22,#REF!,"&lt;=" &amp; F22)+COUNTIFS('Null-1b (Bowl) 500-250'!$P$3:$AA$10,"&gt;" &amp; E22,'Null-1b (Bowl) 500-250'!$P$3:$AA$10,"&lt;=" &amp; F22)+COUNTIFS('Null-1b (Bowl) 500-250'!$P$15:$AA$22,"&gt;" &amp; E22,'Null-1b (Bowl) 500-250'!$P$15:$AA$22,"&lt;=" &amp; F22)+COUNTIFS('Null-1b (Bowl) 500-250'!$P$27:$AA$34,"&gt;" &amp; E22,'Null-1b (Bowl) 500-250'!$P$27:$AA$34,"&lt;=" &amp; F22)+COUNTIFS('Null-1b (Bowl) 250-125'!$P$3:$AA$10,"&gt;" &amp; E22,'Null-1b (Bowl) 250-125'!$P$3:$AA$10,"&lt;=" &amp; F22)+COUNTIFS('Null-1b (Bowl) 250-125'!$P$14:$AA$21,"&gt;" &amp; E22,'Null-1b (Bowl) 250-125'!$P$14:$AA$21,"&lt;=" &amp; F22)+COUNTIFS('Null-1b (Bowl) 250-125'!$P$25:$AA$32,"&gt;" &amp; E22,'Null-1b (Bowl) 250-125'!$P$25:$AA$32,"&lt;=" &amp; F22)+COUNTIFS('Null-1b (Bowl) 250-125'!$P$36:$AA$43,"&gt;" &amp; E22,'Null-1b (Bowl) 250-125'!$P$36:$AA$43,"&lt;=" &amp; F22)</f>
        <v>#REF!</v>
      </c>
      <c r="H22" s="175"/>
      <c r="I22" s="178">
        <v>380</v>
      </c>
      <c r="J22" s="178">
        <v>400</v>
      </c>
      <c r="K22" s="179">
        <f>COUNTIFS('Null-1c (Control) 2000-250'!$P$3:$AA$10,"&gt;" &amp; I22,'Null-1c (Control) 2000-250'!$P$3:$AA$10,"&lt;=" &amp; J22)+COUNTIFS('Null-1c (Control) 250-125'!$P$3:$AA$10,"&gt;" &amp; I22,'Null-1c (Control) 250-125'!$P$3:$AA$10,"&lt;=" &amp; J22)+COUNTIFS('Null-1c (Control) 250-125'!$P$3:$AA$10,"&gt;" &amp; I22,'Null-1c (Control) 250-125'!$P$3:$AA$10,"&lt;=" &amp; J22)</f>
        <v>0</v>
      </c>
      <c r="L22" s="183"/>
      <c r="M22" s="178">
        <v>380</v>
      </c>
      <c r="N22" s="176">
        <v>400</v>
      </c>
      <c r="O22" s="177">
        <f>COUNTIFS('Null-3 2000-500'!$P$3:$AA$10,"&gt;" &amp; M22,'Null-3 2000-500'!$P$3:$AA$10,"&lt;=" &amp; N22)+COUNTIFS('Null-3 500-250'!$P$3:$AA$10,"&gt;" &amp; M22,'Null-3 500-250'!$P$3:$AA$10,"&lt;=" &amp; N22)+COUNTIFS('Null-3 500-250'!$P$14:$AA$21,"&gt;" &amp; M22,'Null-3 500-250'!$P$14:$AA$21,"&lt;=" &amp; N22)+COUNTIFS('Null-3 500-250'!$P$25:$AA$32,"&gt;" &amp; M22,'Null-3 500-250'!$P$25:$AA$32,"&lt;=" &amp; N22)+COUNTIFS('Null-3 500-250'!$P$36:$AA$43,"&gt;" &amp; M22,'Null-3 500-250'!$P$36:$AA$43,"&lt;=" &amp; N22)+COUNTIFS('Null-3 500-250'!$P$47:$AA$54,"&gt;" &amp; M22,'Null-3 500-250'!$P$47:$AA$54,"&lt;=" &amp; N22)+COUNTIFS('Null-3 500-250'!$P$59:$AA$66,"&gt;" &amp; M22,'Null-3 500-250'!$P$59:$AA$66,"&lt;=" &amp; N22)+COUNTIFS('Null-3 125-250'!$P$3:$AA$10,"&gt;" &amp; M22,'Null-3 125-250'!$P$3:$AA$10,"&lt;=" &amp; N22)+COUNTIFS('Null-3 125-250'!$P$15:$AA$22,"&gt;" &amp; M22,'Null-3 125-250'!$P$15:$AA$22,"&lt;=" &amp; N22)+COUNTIFS('Null-3 125-250'!$P$27:$AA$34,"&gt;" &amp; M22,'Null-3 125-250'!$P$27:$AA$34,"&lt;=" &amp; N22)</f>
        <v>2</v>
      </c>
      <c r="P22" s="175"/>
      <c r="Q22" s="176">
        <v>380</v>
      </c>
      <c r="R22" s="176">
        <v>400</v>
      </c>
      <c r="S22" s="177">
        <f>COUNTIFS('Null-6 2000-500'!$P$3:$AA$10,"&gt;" &amp; Q22,'Null-6 2000-500'!$P$3:$AA$10,"&lt;=" &amp; R22)+COUNTIFS('Null-6 2000-500'!$P$15:$AA$22,"&gt;" &amp; Q22,'Null-6 2000-500'!$P$15:$AA$22,"&lt;=" &amp; R22)+COUNTIFS('Null-6 500-250'!$P$3:$AA$10,"&gt;" &amp; Q22,'Null-6 500-250'!$P$3:$AA$10,"&lt;=" &amp; R22)+COUNTIFS('Null-6 500-250'!$P$15:$AA$22,"&gt;" &amp; Q22,'Null-6 500-250'!$P$15:$AA$22,"&lt;=" &amp; R22)+COUNTIFS('Null-6 250-125'!$P$3:$AA$10,"&gt;" &amp; Q22,'Null-6 250-125'!$P$3:$AA$10,"&lt;=" &amp; R22)+COUNTIFS('Null-6 250-125'!$P$16:$AA$23,"&gt;" &amp; Q22,'Null-6 250-125'!$P$16:$AA$23,"&lt;=" &amp; R22)+COUNTIFS('Null-6 250-125'!$P$29:$AA$36,"&gt;" &amp; Q22,'Null-6 250-125'!$P$29:$AA$36,"&lt;=" &amp; R22)</f>
        <v>1</v>
      </c>
      <c r="T22" s="175"/>
      <c r="U22" s="176">
        <v>380</v>
      </c>
      <c r="V22" s="176">
        <v>400</v>
      </c>
      <c r="W22" s="177">
        <f>COUNTIFS('Null-10'!$P$3:$AA$10,"&gt;" &amp; U22,'Null-10'!$P$3:$AA$10,"&lt;=" &amp; V22)+COUNTIFS('Null-10'!$P$16:$AA$23,"&gt;" &amp; U22,'Null-10'!$P$16:$AA$23,"&lt;=" &amp; V22)+COUNTIFS('Null-10'!$P$27:$AA$34,"&gt;" &amp; U22,'Null-10'!$P$27:$AA$34,"&lt;=" &amp; V22)+COUNTIFS('Null-10'!$P$38:$AA$45,"&gt;" &amp; U22,'Null-10'!$P$38:$AA$45,"&lt;=" &amp; V22)+COUNTIFS('Null-10'!$P$49:$AA$56,"&gt;" &amp; U22,'Null-10'!$P$49:$AA$56,"&lt;=" &amp; V22)+COUNTIFS('Null-10'!$P$60:$AA$67,"&gt;" &amp; U22,'Null-10'!$P$60:$AA$67,"&lt;=" &amp; V22)+COUNTIFS('Null-10'!$P$71:$AA$78,"&gt;" &amp; U22,'Null-10'!$P$71:$AA$78,"&lt;=" &amp; V22)+COUNTIFS('Null-10'!$P$83:$AA$90,"&gt;" &amp; U22,'Null-10'!$P$83:$AA$90,"&lt;=" &amp; V22)+COUNTIFS('Null-10'!$P$94:$AA$101,"&gt;" &amp; U22,'Null-10'!$P$94:$AA$101,"&lt;=" &amp; V22)</f>
        <v>0</v>
      </c>
      <c r="X22" s="175"/>
      <c r="Y22" s="176">
        <v>380</v>
      </c>
      <c r="Z22" s="176">
        <v>400</v>
      </c>
      <c r="AA22" s="177">
        <f>COUNTIFS('Null-12 2000-500'!$P$3:$AA$10,"&gt;" &amp; Y22,'Null-12 2000-500'!$P$3:$AA$10,"&lt;=" &amp; Z22)+COUNTIFS('Null-12 500-250'!$P$15:$AA$22,"&gt;" &amp;Y22,'Null-12 500-250'!$P$15:$AA$22,"&lt;=" &amp; Z22)+COUNTIFS('Null-12 500-250'!$P$27:$AA$34,"&gt;" &amp; Y22,'Null-12 500-250'!$P$27:$AA$34,"&lt;=" &amp; Z22)+COUNTIFS('Null-12 500-250'!$P$3:$AA$10,"&gt;" &amp; Y22,'Null-12 500-250'!$P$3:$AA$10,"&lt;=" &amp; Z22)+COUNTIFS('EXP 12 250-125 redo'!$P$3:$AA$10,"&gt;" &amp; Y22,'EXP 12 250-125 redo'!$P$3:$AA$10,"&lt;=" &amp; Z22)</f>
        <v>1</v>
      </c>
      <c r="AB22" s="175"/>
      <c r="AC22" s="176">
        <v>380</v>
      </c>
      <c r="AD22" s="176">
        <v>400</v>
      </c>
      <c r="AE22" s="177" t="e">
        <f t="shared" si="0"/>
        <v>#REF!</v>
      </c>
      <c r="AF22" s="182" t="s">
        <v>677</v>
      </c>
    </row>
    <row r="23" spans="1:32">
      <c r="A23" s="173">
        <v>400</v>
      </c>
      <c r="B23" s="173">
        <v>420</v>
      </c>
      <c r="C23" s="174">
        <f>COUNTIFS('Null-1a (Crack) 2000-500'!$P$3:$AA$10,"&gt;" &amp; A23,'Null-1a (Crack) 2000-500'!$P$3:$AA$10,"&lt;=" &amp; B23)+COUNTIFS('Null-1a (Crack) 500-250'!$P$3:$AA$10,"&gt;" &amp; A23,'Null-1a (Crack) 500-250'!$P$3:$AA$10,"&lt;=" &amp; B23)+COUNTIFS('Null-1a (Crack) 500-250'!$P$15:$AA$22,"&gt;" &amp; A23,'Null-1a (Crack) 500-250'!$P$15:$AA$22,"&lt;=" &amp; B23)+COUNTIFS('Null-1a (Crack) 250-125'!$P$3:AA$10,"&gt;" &amp; A23,'Null-1a (Crack) 250-125'!$P$3:$AA$10,"&lt;=" &amp; B23)</f>
        <v>0</v>
      </c>
      <c r="D23" s="175"/>
      <c r="E23" s="176">
        <v>400</v>
      </c>
      <c r="F23" s="176">
        <v>420</v>
      </c>
      <c r="G23" s="177" t="e">
        <f>COUNTIFS(#REF!,"&gt;" &amp; E23,#REF!,"&lt;=" &amp; F23)+COUNTIFS('Null-1b (Bowl) 500-250'!$P$3:$AA$10,"&gt;" &amp; E23,'Null-1b (Bowl) 500-250'!$P$3:$AA$10,"&lt;=" &amp; F23)+COUNTIFS('Null-1b (Bowl) 500-250'!$P$15:$AA$22,"&gt;" &amp; E23,'Null-1b (Bowl) 500-250'!$P$15:$AA$22,"&lt;=" &amp; F23)+COUNTIFS('Null-1b (Bowl) 500-250'!$P$27:$AA$34,"&gt;" &amp; E23,'Null-1b (Bowl) 500-250'!$P$27:$AA$34,"&lt;=" &amp; F23)+COUNTIFS('Null-1b (Bowl) 250-125'!$P$3:$AA$10,"&gt;" &amp; E23,'Null-1b (Bowl) 250-125'!$P$3:$AA$10,"&lt;=" &amp; F23)+COUNTIFS('Null-1b (Bowl) 250-125'!$P$14:$AA$21,"&gt;" &amp; E23,'Null-1b (Bowl) 250-125'!$P$14:$AA$21,"&lt;=" &amp; F23)+COUNTIFS('Null-1b (Bowl) 250-125'!$P$25:$AA$32,"&gt;" &amp; E23,'Null-1b (Bowl) 250-125'!$P$25:$AA$32,"&lt;=" &amp; F23)+COUNTIFS('Null-1b (Bowl) 250-125'!$P$36:$AA$43,"&gt;" &amp; E23,'Null-1b (Bowl) 250-125'!$P$36:$AA$43,"&lt;=" &amp; F23)</f>
        <v>#REF!</v>
      </c>
      <c r="H23" s="175"/>
      <c r="I23" s="178">
        <v>400</v>
      </c>
      <c r="J23" s="178">
        <v>420</v>
      </c>
      <c r="K23" s="179">
        <f>COUNTIFS('Null-1c (Control) 2000-250'!$P$3:$AA$10,"&gt;" &amp; I23,'Null-1c (Control) 2000-250'!$P$3:$AA$10,"&lt;=" &amp; J23)+COUNTIFS('Null-1c (Control) 250-125'!$P$3:$AA$10,"&gt;" &amp; I23,'Null-1c (Control) 250-125'!$P$3:$AA$10,"&lt;=" &amp; J23)+COUNTIFS('Null-1c (Control) 250-125'!$P$3:$AA$10,"&gt;" &amp; I23,'Null-1c (Control) 250-125'!$P$3:$AA$10,"&lt;=" &amp; J23)</f>
        <v>0</v>
      </c>
      <c r="L23" s="183"/>
      <c r="M23" s="178">
        <v>400</v>
      </c>
      <c r="N23" s="176">
        <v>420</v>
      </c>
      <c r="O23" s="177">
        <f>COUNTIFS('Null-3 2000-500'!$P$3:$AA$10,"&gt;" &amp; M23,'Null-3 2000-500'!$P$3:$AA$10,"&lt;=" &amp; N23)+COUNTIFS('Null-3 500-250'!$P$3:$AA$10,"&gt;" &amp; M23,'Null-3 500-250'!$P$3:$AA$10,"&lt;=" &amp; N23)+COUNTIFS('Null-3 500-250'!$P$14:$AA$21,"&gt;" &amp; M23,'Null-3 500-250'!$P$14:$AA$21,"&lt;=" &amp; N23)+COUNTIFS('Null-3 500-250'!$P$25:$AA$32,"&gt;" &amp; M23,'Null-3 500-250'!$P$25:$AA$32,"&lt;=" &amp; N23)+COUNTIFS('Null-3 500-250'!$P$36:$AA$43,"&gt;" &amp; M23,'Null-3 500-250'!$P$36:$AA$43,"&lt;=" &amp; N23)+COUNTIFS('Null-3 500-250'!$P$47:$AA$54,"&gt;" &amp; M23,'Null-3 500-250'!$P$47:$AA$54,"&lt;=" &amp; N23)+COUNTIFS('Null-3 500-250'!$P$59:$AA$66,"&gt;" &amp; M23,'Null-3 500-250'!$P$59:$AA$66,"&lt;=" &amp; N23)+COUNTIFS('Null-3 125-250'!$P$3:$AA$10,"&gt;" &amp; M23,'Null-3 125-250'!$P$3:$AA$10,"&lt;=" &amp; N23)+COUNTIFS('Null-3 125-250'!$P$15:$AA$22,"&gt;" &amp; M23,'Null-3 125-250'!$P$15:$AA$22,"&lt;=" &amp; N23)+COUNTIFS('Null-3 125-250'!$P$27:$AA$34,"&gt;" &amp; M23,'Null-3 125-250'!$P$27:$AA$34,"&lt;=" &amp; N23)</f>
        <v>0</v>
      </c>
      <c r="P23" s="175"/>
      <c r="Q23" s="176">
        <v>400</v>
      </c>
      <c r="R23" s="176">
        <v>420</v>
      </c>
      <c r="S23" s="177">
        <f>COUNTIFS('Null-6 2000-500'!$P$3:$AA$10,"&gt;" &amp; Q23,'Null-6 2000-500'!$P$3:$AA$10,"&lt;=" &amp; R23)+COUNTIFS('Null-6 2000-500'!$P$15:$AA$22,"&gt;" &amp; Q23,'Null-6 2000-500'!$P$15:$AA$22,"&lt;=" &amp; R23)+COUNTIFS('Null-6 500-250'!$P$3:$AA$10,"&gt;" &amp; Q23,'Null-6 500-250'!$P$3:$AA$10,"&lt;=" &amp; R23)+COUNTIFS('Null-6 500-250'!$P$15:$AA$22,"&gt;" &amp; Q23,'Null-6 500-250'!$P$15:$AA$22,"&lt;=" &amp; R23)+COUNTIFS('Null-6 250-125'!$P$3:$AA$10,"&gt;" &amp; Q23,'Null-6 250-125'!$P$3:$AA$10,"&lt;=" &amp; R23)+COUNTIFS('Null-6 250-125'!$P$16:$AA$23,"&gt;" &amp; Q23,'Null-6 250-125'!$P$16:$AA$23,"&lt;=" &amp; R23)+COUNTIFS('Null-6 250-125'!$P$29:$AA$36,"&gt;" &amp; Q23,'Null-6 250-125'!$P$29:$AA$36,"&lt;=" &amp; R23)</f>
        <v>0</v>
      </c>
      <c r="T23" s="175"/>
      <c r="U23" s="176">
        <v>400</v>
      </c>
      <c r="V23" s="176">
        <v>420</v>
      </c>
      <c r="W23" s="177">
        <f>COUNTIFS('Null-10'!$P$3:$AA$10,"&gt;" &amp; U23,'Null-10'!$P$3:$AA$10,"&lt;=" &amp; V23)+COUNTIFS('Null-10'!$P$16:$AA$23,"&gt;" &amp; U23,'Null-10'!$P$16:$AA$23,"&lt;=" &amp; V23)+COUNTIFS('Null-10'!$P$27:$AA$34,"&gt;" &amp; U23,'Null-10'!$P$27:$AA$34,"&lt;=" &amp; V23)+COUNTIFS('Null-10'!$P$38:$AA$45,"&gt;" &amp; U23,'Null-10'!$P$38:$AA$45,"&lt;=" &amp; V23)+COUNTIFS('Null-10'!$P$49:$AA$56,"&gt;" &amp; U23,'Null-10'!$P$49:$AA$56,"&lt;=" &amp; V23)+COUNTIFS('Null-10'!$P$60:$AA$67,"&gt;" &amp; U23,'Null-10'!$P$60:$AA$67,"&lt;=" &amp; V23)+COUNTIFS('Null-10'!$P$71:$AA$78,"&gt;" &amp; U23,'Null-10'!$P$71:$AA$78,"&lt;=" &amp; V23)+COUNTIFS('Null-10'!$P$83:$AA$90,"&gt;" &amp; U23,'Null-10'!$P$83:$AA$90,"&lt;=" &amp; V23)+COUNTIFS('Null-10'!$P$94:$AA$101,"&gt;" &amp; U23,'Null-10'!$P$94:$AA$101,"&lt;=" &amp; V23)</f>
        <v>0</v>
      </c>
      <c r="X23" s="175"/>
      <c r="Y23" s="176">
        <v>400</v>
      </c>
      <c r="Z23" s="176">
        <v>420</v>
      </c>
      <c r="AA23" s="177">
        <f>COUNTIFS('Null-12 2000-500'!$P$3:$AA$10,"&gt;" &amp; Y23,'Null-12 2000-500'!$P$3:$AA$10,"&lt;=" &amp; Z23)+COUNTIFS('Null-12 500-250'!$P$15:$AA$22,"&gt;" &amp;Y23,'Null-12 500-250'!$P$15:$AA$22,"&lt;=" &amp; Z23)+COUNTIFS('Null-12 500-250'!$P$27:$AA$34,"&gt;" &amp; Y23,'Null-12 500-250'!$P$27:$AA$34,"&lt;=" &amp; Z23)+COUNTIFS('Null-12 500-250'!$P$3:$AA$10,"&gt;" &amp; Y23,'Null-12 500-250'!$P$3:$AA$10,"&lt;=" &amp; Z23)+COUNTIFS('EXP 12 250-125 redo'!$P$3:$AA$10,"&gt;" &amp; Y23,'EXP 12 250-125 redo'!$P$3:$AA$10,"&lt;=" &amp; Z23)</f>
        <v>0</v>
      </c>
      <c r="AB23" s="175"/>
      <c r="AC23" s="176">
        <v>400</v>
      </c>
      <c r="AD23" s="176">
        <v>420</v>
      </c>
      <c r="AE23" s="177" t="e">
        <f t="shared" si="0"/>
        <v>#REF!</v>
      </c>
      <c r="AF23" s="182" t="s">
        <v>678</v>
      </c>
    </row>
    <row r="24" spans="1:32">
      <c r="A24" s="173">
        <v>420</v>
      </c>
      <c r="B24" s="173">
        <v>440</v>
      </c>
      <c r="C24" s="174">
        <f>COUNTIFS('Null-1a (Crack) 2000-500'!$P$3:$AA$10,"&gt;" &amp; A24,'Null-1a (Crack) 2000-500'!$P$3:$AA$10,"&lt;=" &amp; B24)+COUNTIFS('Null-1a (Crack) 500-250'!$P$3:$AA$10,"&gt;" &amp; A24,'Null-1a (Crack) 500-250'!$P$3:$AA$10,"&lt;=" &amp; B24)+COUNTIFS('Null-1a (Crack) 500-250'!$P$15:$AA$22,"&gt;" &amp; A24,'Null-1a (Crack) 500-250'!$P$15:$AA$22,"&lt;=" &amp; B24)+COUNTIFS('Null-1a (Crack) 250-125'!$P$3:AA$10,"&gt;" &amp; A24,'Null-1a (Crack) 250-125'!$P$3:$AA$10,"&lt;=" &amp; B24)</f>
        <v>0</v>
      </c>
      <c r="D24" s="175"/>
      <c r="E24" s="176">
        <v>420</v>
      </c>
      <c r="F24" s="176">
        <v>440</v>
      </c>
      <c r="G24" s="177" t="e">
        <f>COUNTIFS(#REF!,"&gt;" &amp; E24,#REF!,"&lt;=" &amp; F24)+COUNTIFS('Null-1b (Bowl) 500-250'!$P$3:$AA$10,"&gt;" &amp; E24,'Null-1b (Bowl) 500-250'!$P$3:$AA$10,"&lt;=" &amp; F24)+COUNTIFS('Null-1b (Bowl) 500-250'!$P$15:$AA$22,"&gt;" &amp; E24,'Null-1b (Bowl) 500-250'!$P$15:$AA$22,"&lt;=" &amp; F24)+COUNTIFS('Null-1b (Bowl) 500-250'!$P$27:$AA$34,"&gt;" &amp; E24,'Null-1b (Bowl) 500-250'!$P$27:$AA$34,"&lt;=" &amp; F24)+COUNTIFS('Null-1b (Bowl) 250-125'!$P$3:$AA$10,"&gt;" &amp; E24,'Null-1b (Bowl) 250-125'!$P$3:$AA$10,"&lt;=" &amp; F24)+COUNTIFS('Null-1b (Bowl) 250-125'!$P$14:$AA$21,"&gt;" &amp; E24,'Null-1b (Bowl) 250-125'!$P$14:$AA$21,"&lt;=" &amp; F24)+COUNTIFS('Null-1b (Bowl) 250-125'!$P$25:$AA$32,"&gt;" &amp; E24,'Null-1b (Bowl) 250-125'!$P$25:$AA$32,"&lt;=" &amp; F24)+COUNTIFS('Null-1b (Bowl) 250-125'!$P$36:$AA$43,"&gt;" &amp; E24,'Null-1b (Bowl) 250-125'!$P$36:$AA$43,"&lt;=" &amp; F24)</f>
        <v>#REF!</v>
      </c>
      <c r="H24" s="175"/>
      <c r="I24" s="178">
        <v>420</v>
      </c>
      <c r="J24" s="178">
        <v>440</v>
      </c>
      <c r="K24" s="179">
        <f>COUNTIFS('Null-1c (Control) 2000-250'!$P$3:$AA$10,"&gt;" &amp; I24,'Null-1c (Control) 2000-250'!$P$3:$AA$10,"&lt;=" &amp; J24)+COUNTIFS('Null-1c (Control) 250-125'!$P$3:$AA$10,"&gt;" &amp; I24,'Null-1c (Control) 250-125'!$P$3:$AA$10,"&lt;=" &amp; J24)+COUNTIFS('Null-1c (Control) 250-125'!$P$3:$AA$10,"&gt;" &amp; I24,'Null-1c (Control) 250-125'!$P$3:$AA$10,"&lt;=" &amp; J24)</f>
        <v>0</v>
      </c>
      <c r="L24" s="183"/>
      <c r="M24" s="178">
        <v>420</v>
      </c>
      <c r="N24" s="176">
        <v>440</v>
      </c>
      <c r="O24" s="177">
        <f>COUNTIFS('Null-3 2000-500'!$P$3:$AA$10,"&gt;" &amp; M24,'Null-3 2000-500'!$P$3:$AA$10,"&lt;=" &amp; N24)+COUNTIFS('Null-3 500-250'!$P$3:$AA$10,"&gt;" &amp; M24,'Null-3 500-250'!$P$3:$AA$10,"&lt;=" &amp; N24)+COUNTIFS('Null-3 500-250'!$P$14:$AA$21,"&gt;" &amp; M24,'Null-3 500-250'!$P$14:$AA$21,"&lt;=" &amp; N24)+COUNTIFS('Null-3 500-250'!$P$25:$AA$32,"&gt;" &amp; M24,'Null-3 500-250'!$P$25:$AA$32,"&lt;=" &amp; N24)+COUNTIFS('Null-3 500-250'!$P$36:$AA$43,"&gt;" &amp; M24,'Null-3 500-250'!$P$36:$AA$43,"&lt;=" &amp; N24)+COUNTIFS('Null-3 500-250'!$P$47:$AA$54,"&gt;" &amp; M24,'Null-3 500-250'!$P$47:$AA$54,"&lt;=" &amp; N24)+COUNTIFS('Null-3 500-250'!$P$59:$AA$66,"&gt;" &amp; M24,'Null-3 500-250'!$P$59:$AA$66,"&lt;=" &amp; N24)+COUNTIFS('Null-3 125-250'!$P$3:$AA$10,"&gt;" &amp; M24,'Null-3 125-250'!$P$3:$AA$10,"&lt;=" &amp; N24)+COUNTIFS('Null-3 125-250'!$P$15:$AA$22,"&gt;" &amp; M24,'Null-3 125-250'!$P$15:$AA$22,"&lt;=" &amp; N24)+COUNTIFS('Null-3 125-250'!$P$27:$AA$34,"&gt;" &amp; M24,'Null-3 125-250'!$P$27:$AA$34,"&lt;=" &amp; N24)</f>
        <v>0</v>
      </c>
      <c r="P24" s="175"/>
      <c r="Q24" s="176">
        <v>420</v>
      </c>
      <c r="R24" s="176">
        <v>440</v>
      </c>
      <c r="S24" s="177">
        <f>COUNTIFS('Null-6 2000-500'!$P$3:$AA$10,"&gt;" &amp; Q24,'Null-6 2000-500'!$P$3:$AA$10,"&lt;=" &amp; R24)+COUNTIFS('Null-6 2000-500'!$P$15:$AA$22,"&gt;" &amp; Q24,'Null-6 2000-500'!$P$15:$AA$22,"&lt;=" &amp; R24)+COUNTIFS('Null-6 500-250'!$P$3:$AA$10,"&gt;" &amp; Q24,'Null-6 500-250'!$P$3:$AA$10,"&lt;=" &amp; R24)+COUNTIFS('Null-6 500-250'!$P$15:$AA$22,"&gt;" &amp; Q24,'Null-6 500-250'!$P$15:$AA$22,"&lt;=" &amp; R24)+COUNTIFS('Null-6 250-125'!$P$3:$AA$10,"&gt;" &amp; Q24,'Null-6 250-125'!$P$3:$AA$10,"&lt;=" &amp; R24)+COUNTIFS('Null-6 250-125'!$P$16:$AA$23,"&gt;" &amp; Q24,'Null-6 250-125'!$P$16:$AA$23,"&lt;=" &amp; R24)+COUNTIFS('Null-6 250-125'!$P$29:$AA$36,"&gt;" &amp; Q24,'Null-6 250-125'!$P$29:$AA$36,"&lt;=" &amp; R24)</f>
        <v>0</v>
      </c>
      <c r="T24" s="175"/>
      <c r="U24" s="176">
        <v>420</v>
      </c>
      <c r="V24" s="176">
        <v>440</v>
      </c>
      <c r="W24" s="177">
        <f>COUNTIFS('Null-10'!$P$3:$AA$10,"&gt;" &amp; U24,'Null-10'!$P$3:$AA$10,"&lt;=" &amp; V24)+COUNTIFS('Null-10'!$P$16:$AA$23,"&gt;" &amp; U24,'Null-10'!$P$16:$AA$23,"&lt;=" &amp; V24)+COUNTIFS('Null-10'!$P$27:$AA$34,"&gt;" &amp; U24,'Null-10'!$P$27:$AA$34,"&lt;=" &amp; V24)+COUNTIFS('Null-10'!$P$38:$AA$45,"&gt;" &amp; U24,'Null-10'!$P$38:$AA$45,"&lt;=" &amp; V24)+COUNTIFS('Null-10'!$P$49:$AA$56,"&gt;" &amp; U24,'Null-10'!$P$49:$AA$56,"&lt;=" &amp; V24)+COUNTIFS('Null-10'!$P$60:$AA$67,"&gt;" &amp; U24,'Null-10'!$P$60:$AA$67,"&lt;=" &amp; V24)+COUNTIFS('Null-10'!$P$71:$AA$78,"&gt;" &amp; U24,'Null-10'!$P$71:$AA$78,"&lt;=" &amp; V24)+COUNTIFS('Null-10'!$P$83:$AA$90,"&gt;" &amp; U24,'Null-10'!$P$83:$AA$90,"&lt;=" &amp; V24)+COUNTIFS('Null-10'!$P$94:$AA$101,"&gt;" &amp; U24,'Null-10'!$P$94:$AA$101,"&lt;=" &amp; V24)</f>
        <v>0</v>
      </c>
      <c r="X24" s="175"/>
      <c r="Y24" s="176">
        <v>420</v>
      </c>
      <c r="Z24" s="176">
        <v>440</v>
      </c>
      <c r="AA24" s="177">
        <f>COUNTIFS('Null-12 2000-500'!$P$3:$AA$10,"&gt;" &amp; Y24,'Null-12 2000-500'!$P$3:$AA$10,"&lt;=" &amp; Z24)+COUNTIFS('Null-12 500-250'!$P$15:$AA$22,"&gt;" &amp;Y24,'Null-12 500-250'!$P$15:$AA$22,"&lt;=" &amp; Z24)+COUNTIFS('Null-12 500-250'!$P$27:$AA$34,"&gt;" &amp; Y24,'Null-12 500-250'!$P$27:$AA$34,"&lt;=" &amp; Z24)+COUNTIFS('Null-12 500-250'!$P$3:$AA$10,"&gt;" &amp; Y24,'Null-12 500-250'!$P$3:$AA$10,"&lt;=" &amp; Z24)+COUNTIFS('EXP 12 250-125 redo'!$P$3:$AA$10,"&gt;" &amp; Y24,'EXP 12 250-125 redo'!$P$3:$AA$10,"&lt;=" &amp; Z24)</f>
        <v>0</v>
      </c>
      <c r="AB24" s="175"/>
      <c r="AC24" s="176">
        <v>420</v>
      </c>
      <c r="AD24" s="176">
        <v>440</v>
      </c>
      <c r="AE24" s="177" t="e">
        <f t="shared" si="0"/>
        <v>#REF!</v>
      </c>
      <c r="AF24" s="182" t="s">
        <v>679</v>
      </c>
    </row>
    <row r="25" spans="1:32">
      <c r="A25" s="173">
        <v>440</v>
      </c>
      <c r="B25" s="173">
        <v>460</v>
      </c>
      <c r="C25" s="174">
        <f>COUNTIFS('Null-1a (Crack) 2000-500'!$P$3:$AA$10,"&gt;" &amp; A25,'Null-1a (Crack) 2000-500'!$P$3:$AA$10,"&lt;=" &amp; B25)+COUNTIFS('Null-1a (Crack) 500-250'!$P$3:$AA$10,"&gt;" &amp; A25,'Null-1a (Crack) 500-250'!$P$3:$AA$10,"&lt;=" &amp; B25)+COUNTIFS('Null-1a (Crack) 500-250'!$P$15:$AA$22,"&gt;" &amp; A25,'Null-1a (Crack) 500-250'!$P$15:$AA$22,"&lt;=" &amp; B25)+COUNTIFS('Null-1a (Crack) 250-125'!$P$3:AA$10,"&gt;" &amp; A25,'Null-1a (Crack) 250-125'!$P$3:$AA$10,"&lt;=" &amp; B25)</f>
        <v>0</v>
      </c>
      <c r="D25" s="175"/>
      <c r="E25" s="176">
        <v>440</v>
      </c>
      <c r="F25" s="176">
        <v>460</v>
      </c>
      <c r="G25" s="177" t="e">
        <f>COUNTIFS(#REF!,"&gt;" &amp; E25,#REF!,"&lt;=" &amp; F25)+COUNTIFS('Null-1b (Bowl) 500-250'!$P$3:$AA$10,"&gt;" &amp; E25,'Null-1b (Bowl) 500-250'!$P$3:$AA$10,"&lt;=" &amp; F25)+COUNTIFS('Null-1b (Bowl) 500-250'!$P$15:$AA$22,"&gt;" &amp; E25,'Null-1b (Bowl) 500-250'!$P$15:$AA$22,"&lt;=" &amp; F25)+COUNTIFS('Null-1b (Bowl) 500-250'!$P$27:$AA$34,"&gt;" &amp; E25,'Null-1b (Bowl) 500-250'!$P$27:$AA$34,"&lt;=" &amp; F25)+COUNTIFS('Null-1b (Bowl) 250-125'!$P$3:$AA$10,"&gt;" &amp; E25,'Null-1b (Bowl) 250-125'!$P$3:$AA$10,"&lt;=" &amp; F25)+COUNTIFS('Null-1b (Bowl) 250-125'!$P$14:$AA$21,"&gt;" &amp; E25,'Null-1b (Bowl) 250-125'!$P$14:$AA$21,"&lt;=" &amp; F25)+COUNTIFS('Null-1b (Bowl) 250-125'!$P$25:$AA$32,"&gt;" &amp; E25,'Null-1b (Bowl) 250-125'!$P$25:$AA$32,"&lt;=" &amp; F25)+COUNTIFS('Null-1b (Bowl) 250-125'!$P$36:$AA$43,"&gt;" &amp; E25,'Null-1b (Bowl) 250-125'!$P$36:$AA$43,"&lt;=" &amp; F25)</f>
        <v>#REF!</v>
      </c>
      <c r="H25" s="175"/>
      <c r="I25" s="176">
        <v>440</v>
      </c>
      <c r="J25" s="176">
        <v>460</v>
      </c>
      <c r="K25" s="179">
        <f>COUNTIFS('Null-1c (Control) 2000-250'!$P$3:$AA$10,"&gt;" &amp; I25,'Null-1c (Control) 2000-250'!$P$3:$AA$10,"&lt;=" &amp; J25)+COUNTIFS('Null-1c (Control) 250-125'!$P$3:$AA$10,"&gt;" &amp; I25,'Null-1c (Control) 250-125'!$P$3:$AA$10,"&lt;=" &amp; J25)+COUNTIFS('Null-1c (Control) 250-125'!$P$3:$AA$10,"&gt;" &amp; I25,'Null-1c (Control) 250-125'!$P$3:$AA$10,"&lt;=" &amp; J25)</f>
        <v>0</v>
      </c>
      <c r="L25" s="175"/>
      <c r="M25" s="176">
        <v>440</v>
      </c>
      <c r="N25" s="176">
        <v>460</v>
      </c>
      <c r="O25" s="177">
        <f>COUNTIFS('Null-3 2000-500'!$P$3:$AA$10,"&gt;" &amp; M25,'Null-3 2000-500'!$P$3:$AA$10,"&lt;=" &amp; N25)+COUNTIFS('Null-3 500-250'!$P$3:$AA$10,"&gt;" &amp; M25,'Null-3 500-250'!$P$3:$AA$10,"&lt;=" &amp; N25)+COUNTIFS('Null-3 500-250'!$P$14:$AA$21,"&gt;" &amp; M25,'Null-3 500-250'!$P$14:$AA$21,"&lt;=" &amp; N25)+COUNTIFS('Null-3 500-250'!$P$25:$AA$32,"&gt;" &amp; M25,'Null-3 500-250'!$P$25:$AA$32,"&lt;=" &amp; N25)+COUNTIFS('Null-3 500-250'!$P$36:$AA$43,"&gt;" &amp; M25,'Null-3 500-250'!$P$36:$AA$43,"&lt;=" &amp; N25)+COUNTIFS('Null-3 500-250'!$P$47:$AA$54,"&gt;" &amp; M25,'Null-3 500-250'!$P$47:$AA$54,"&lt;=" &amp; N25)+COUNTIFS('Null-3 500-250'!$P$59:$AA$66,"&gt;" &amp; M25,'Null-3 500-250'!$P$59:$AA$66,"&lt;=" &amp; N25)+COUNTIFS('Null-3 125-250'!$P$3:$AA$10,"&gt;" &amp; M25,'Null-3 125-250'!$P$3:$AA$10,"&lt;=" &amp; N25)+COUNTIFS('Null-3 125-250'!$P$15:$AA$22,"&gt;" &amp; M25,'Null-3 125-250'!$P$15:$AA$22,"&lt;=" &amp; N25)+COUNTIFS('Null-3 125-250'!$P$27:$AA$34,"&gt;" &amp; M25,'Null-3 125-250'!$P$27:$AA$34,"&lt;=" &amp; N25)</f>
        <v>0</v>
      </c>
      <c r="P25" s="175"/>
      <c r="Q25" s="176">
        <v>440</v>
      </c>
      <c r="R25" s="176">
        <v>460</v>
      </c>
      <c r="S25" s="177">
        <f>COUNTIFS('Null-6 2000-500'!$P$3:$AA$10,"&gt;" &amp; Q25,'Null-6 2000-500'!$P$3:$AA$10,"&lt;=" &amp; R25)+COUNTIFS('Null-6 2000-500'!$P$15:$AA$22,"&gt;" &amp; Q25,'Null-6 2000-500'!$P$15:$AA$22,"&lt;=" &amp; R25)+COUNTIFS('Null-6 500-250'!$P$3:$AA$10,"&gt;" &amp; Q25,'Null-6 500-250'!$P$3:$AA$10,"&lt;=" &amp; R25)+COUNTIFS('Null-6 500-250'!$P$15:$AA$22,"&gt;" &amp; Q25,'Null-6 500-250'!$P$15:$AA$22,"&lt;=" &amp; R25)+COUNTIFS('Null-6 250-125'!$P$3:$AA$10,"&gt;" &amp; Q25,'Null-6 250-125'!$P$3:$AA$10,"&lt;=" &amp; R25)+COUNTIFS('Null-6 250-125'!$P$16:$AA$23,"&gt;" &amp; Q25,'Null-6 250-125'!$P$16:$AA$23,"&lt;=" &amp; R25)+COUNTIFS('Null-6 250-125'!$P$29:$AA$36,"&gt;" &amp; Q25,'Null-6 250-125'!$P$29:$AA$36,"&lt;=" &amp; R25)</f>
        <v>1</v>
      </c>
      <c r="T25" s="175"/>
      <c r="U25" s="176">
        <v>440</v>
      </c>
      <c r="V25" s="176">
        <v>460</v>
      </c>
      <c r="W25" s="177">
        <f>COUNTIFS('Null-10'!$P$3:$AA$10,"&gt;" &amp; U25,'Null-10'!$P$3:$AA$10,"&lt;=" &amp; V25)+COUNTIFS('Null-10'!$P$16:$AA$23,"&gt;" &amp; U25,'Null-10'!$P$16:$AA$23,"&lt;=" &amp; V25)+COUNTIFS('Null-10'!$P$27:$AA$34,"&gt;" &amp; U25,'Null-10'!$P$27:$AA$34,"&lt;=" &amp; V25)+COUNTIFS('Null-10'!$P$38:$AA$45,"&gt;" &amp; U25,'Null-10'!$P$38:$AA$45,"&lt;=" &amp; V25)+COUNTIFS('Null-10'!$P$49:$AA$56,"&gt;" &amp; U25,'Null-10'!$P$49:$AA$56,"&lt;=" &amp; V25)+COUNTIFS('Null-10'!$P$60:$AA$67,"&gt;" &amp; U25,'Null-10'!$P$60:$AA$67,"&lt;=" &amp; V25)+COUNTIFS('Null-10'!$P$71:$AA$78,"&gt;" &amp; U25,'Null-10'!$P$71:$AA$78,"&lt;=" &amp; V25)+COUNTIFS('Null-10'!$P$83:$AA$90,"&gt;" &amp; U25,'Null-10'!$P$83:$AA$90,"&lt;=" &amp; V25)+COUNTIFS('Null-10'!$P$94:$AA$101,"&gt;" &amp; U25,'Null-10'!$P$94:$AA$101,"&lt;=" &amp; V25)</f>
        <v>0</v>
      </c>
      <c r="X25" s="175"/>
      <c r="Y25" s="176">
        <v>440</v>
      </c>
      <c r="Z25" s="176">
        <v>460</v>
      </c>
      <c r="AA25" s="177">
        <f>COUNTIFS('Null-12 2000-500'!$P$3:$AA$10,"&gt;" &amp; Y25,'Null-12 2000-500'!$P$3:$AA$10,"&lt;=" &amp; Z25)+COUNTIFS('Null-12 500-250'!$P$15:$AA$22,"&gt;" &amp;Y25,'Null-12 500-250'!$P$15:$AA$22,"&lt;=" &amp; Z25)+COUNTIFS('Null-12 500-250'!$P$27:$AA$34,"&gt;" &amp; Y25,'Null-12 500-250'!$P$27:$AA$34,"&lt;=" &amp; Z25)+COUNTIFS('Null-12 500-250'!$P$3:$AA$10,"&gt;" &amp; Y25,'Null-12 500-250'!$P$3:$AA$10,"&lt;=" &amp; Z25)+COUNTIFS('EXP 12 250-125 redo'!$P$3:$AA$10,"&gt;" &amp; Y25,'EXP 12 250-125 redo'!$P$3:$AA$10,"&lt;=" &amp; Z25)</f>
        <v>0</v>
      </c>
      <c r="AB25" s="175"/>
      <c r="AC25" s="176">
        <v>440</v>
      </c>
      <c r="AD25" s="176">
        <v>460</v>
      </c>
      <c r="AE25" s="177" t="e">
        <f t="shared" si="0"/>
        <v>#REF!</v>
      </c>
      <c r="AF25" s="182" t="s">
        <v>680</v>
      </c>
    </row>
    <row r="26" spans="1:32">
      <c r="A26" s="173">
        <v>460</v>
      </c>
      <c r="B26" s="173">
        <v>480</v>
      </c>
      <c r="C26" s="174">
        <f>COUNTIFS('Null-1a (Crack) 2000-500'!$P$3:$AA$10,"&gt;" &amp; A26,'Null-1a (Crack) 2000-500'!$P$3:$AA$10,"&lt;=" &amp; B26)+COUNTIFS('Null-1a (Crack) 500-250'!$P$3:$AA$10,"&gt;" &amp; A26,'Null-1a (Crack) 500-250'!$P$3:$AA$10,"&lt;=" &amp; B26)+COUNTIFS('Null-1a (Crack) 500-250'!$P$15:$AA$22,"&gt;" &amp; A26,'Null-1a (Crack) 500-250'!$P$15:$AA$22,"&lt;=" &amp; B26)+COUNTIFS('Null-1a (Crack) 250-125'!$P$3:AA$10,"&gt;" &amp; A26,'Null-1a (Crack) 250-125'!$P$3:$AA$10,"&lt;=" &amp; B26)</f>
        <v>0</v>
      </c>
      <c r="D26" s="175"/>
      <c r="E26" s="176">
        <v>460</v>
      </c>
      <c r="F26" s="176">
        <v>480</v>
      </c>
      <c r="G26" s="177" t="e">
        <f>COUNTIFS(#REF!,"&gt;" &amp; E26,#REF!,"&lt;=" &amp; F26)+COUNTIFS('Null-1b (Bowl) 500-250'!$P$3:$AA$10,"&gt;" &amp; E26,'Null-1b (Bowl) 500-250'!$P$3:$AA$10,"&lt;=" &amp; F26)+COUNTIFS('Null-1b (Bowl) 500-250'!$P$15:$AA$22,"&gt;" &amp; E26,'Null-1b (Bowl) 500-250'!$P$15:$AA$22,"&lt;=" &amp; F26)+COUNTIFS('Null-1b (Bowl) 500-250'!$P$27:$AA$34,"&gt;" &amp; E26,'Null-1b (Bowl) 500-250'!$P$27:$AA$34,"&lt;=" &amp; F26)+COUNTIFS('Null-1b (Bowl) 250-125'!$P$3:$AA$10,"&gt;" &amp; E26,'Null-1b (Bowl) 250-125'!$P$3:$AA$10,"&lt;=" &amp; F26)+COUNTIFS('Null-1b (Bowl) 250-125'!$P$14:$AA$21,"&gt;" &amp; E26,'Null-1b (Bowl) 250-125'!$P$14:$AA$21,"&lt;=" &amp; F26)+COUNTIFS('Null-1b (Bowl) 250-125'!$P$25:$AA$32,"&gt;" &amp; E26,'Null-1b (Bowl) 250-125'!$P$25:$AA$32,"&lt;=" &amp; F26)+COUNTIFS('Null-1b (Bowl) 250-125'!$P$36:$AA$43,"&gt;" &amp; E26,'Null-1b (Bowl) 250-125'!$P$36:$AA$43,"&lt;=" &amp; F26)</f>
        <v>#REF!</v>
      </c>
      <c r="H26" s="175"/>
      <c r="I26" s="176">
        <v>460</v>
      </c>
      <c r="J26" s="176">
        <v>480</v>
      </c>
      <c r="K26" s="179">
        <f>COUNTIFS('Null-1c (Control) 2000-250'!$P$3:$AA$10,"&gt;" &amp; I26,'Null-1c (Control) 2000-250'!$P$3:$AA$10,"&lt;=" &amp; J26)+COUNTIFS('Null-1c (Control) 250-125'!$P$3:$AA$10,"&gt;" &amp; I26,'Null-1c (Control) 250-125'!$P$3:$AA$10,"&lt;=" &amp; J26)+COUNTIFS('Null-1c (Control) 250-125'!$P$3:$AA$10,"&gt;" &amp; I26,'Null-1c (Control) 250-125'!$P$3:$AA$10,"&lt;=" &amp; J26)</f>
        <v>0</v>
      </c>
      <c r="L26" s="175"/>
      <c r="M26" s="176">
        <v>460</v>
      </c>
      <c r="N26" s="176">
        <v>480</v>
      </c>
      <c r="O26" s="177">
        <f>COUNTIFS('Null-3 2000-500'!$P$3:$AA$10,"&gt;" &amp; M26,'Null-3 2000-500'!$P$3:$AA$10,"&lt;=" &amp; N26)+COUNTIFS('Null-3 500-250'!$P$3:$AA$10,"&gt;" &amp; M26,'Null-3 500-250'!$P$3:$AA$10,"&lt;=" &amp; N26)+COUNTIFS('Null-3 500-250'!$P$14:$AA$21,"&gt;" &amp; M26,'Null-3 500-250'!$P$14:$AA$21,"&lt;=" &amp; N26)+COUNTIFS('Null-3 500-250'!$P$25:$AA$32,"&gt;" &amp; M26,'Null-3 500-250'!$P$25:$AA$32,"&lt;=" &amp; N26)+COUNTIFS('Null-3 500-250'!$P$36:$AA$43,"&gt;" &amp; M26,'Null-3 500-250'!$P$36:$AA$43,"&lt;=" &amp; N26)+COUNTIFS('Null-3 500-250'!$P$47:$AA$54,"&gt;" &amp; M26,'Null-3 500-250'!$P$47:$AA$54,"&lt;=" &amp; N26)+COUNTIFS('Null-3 500-250'!$P$59:$AA$66,"&gt;" &amp; M26,'Null-3 500-250'!$P$59:$AA$66,"&lt;=" &amp; N26)+COUNTIFS('Null-3 125-250'!$P$3:$AA$10,"&gt;" &amp; M26,'Null-3 125-250'!$P$3:$AA$10,"&lt;=" &amp; N26)+COUNTIFS('Null-3 125-250'!$P$15:$AA$22,"&gt;" &amp; M26,'Null-3 125-250'!$P$15:$AA$22,"&lt;=" &amp; N26)+COUNTIFS('Null-3 125-250'!$P$27:$AA$34,"&gt;" &amp; M26,'Null-3 125-250'!$P$27:$AA$34,"&lt;=" &amp; N26)</f>
        <v>0</v>
      </c>
      <c r="P26" s="175"/>
      <c r="Q26" s="176">
        <v>460</v>
      </c>
      <c r="R26" s="176">
        <v>480</v>
      </c>
      <c r="S26" s="177">
        <f>COUNTIFS('Null-6 2000-500'!$P$3:$AA$10,"&gt;" &amp; Q26,'Null-6 2000-500'!$P$3:$AA$10,"&lt;=" &amp; R26)+COUNTIFS('Null-6 2000-500'!$P$15:$AA$22,"&gt;" &amp; Q26,'Null-6 2000-500'!$P$15:$AA$22,"&lt;=" &amp; R26)+COUNTIFS('Null-6 500-250'!$P$3:$AA$10,"&gt;" &amp; Q26,'Null-6 500-250'!$P$3:$AA$10,"&lt;=" &amp; R26)+COUNTIFS('Null-6 500-250'!$P$15:$AA$22,"&gt;" &amp; Q26,'Null-6 500-250'!$P$15:$AA$22,"&lt;=" &amp; R26)+COUNTIFS('Null-6 250-125'!$P$3:$AA$10,"&gt;" &amp; Q26,'Null-6 250-125'!$P$3:$AA$10,"&lt;=" &amp; R26)+COUNTIFS('Null-6 250-125'!$P$16:$AA$23,"&gt;" &amp; Q26,'Null-6 250-125'!$P$16:$AA$23,"&lt;=" &amp; R26)+COUNTIFS('Null-6 250-125'!$P$29:$AA$36,"&gt;" &amp; Q26,'Null-6 250-125'!$P$29:$AA$36,"&lt;=" &amp; R26)</f>
        <v>0</v>
      </c>
      <c r="T26" s="175"/>
      <c r="U26" s="176">
        <v>460</v>
      </c>
      <c r="V26" s="176">
        <v>480</v>
      </c>
      <c r="W26" s="177">
        <f>COUNTIFS('Null-10'!$P$3:$AA$10,"&gt;" &amp; U26,'Null-10'!$P$3:$AA$10,"&lt;=" &amp; V26)+COUNTIFS('Null-10'!$P$16:$AA$23,"&gt;" &amp; U26,'Null-10'!$P$16:$AA$23,"&lt;=" &amp; V26)+COUNTIFS('Null-10'!$P$27:$AA$34,"&gt;" &amp; U26,'Null-10'!$P$27:$AA$34,"&lt;=" &amp; V26)+COUNTIFS('Null-10'!$P$38:$AA$45,"&gt;" &amp; U26,'Null-10'!$P$38:$AA$45,"&lt;=" &amp; V26)+COUNTIFS('Null-10'!$P$49:$AA$56,"&gt;" &amp; U26,'Null-10'!$P$49:$AA$56,"&lt;=" &amp; V26)+COUNTIFS('Null-10'!$P$60:$AA$67,"&gt;" &amp; U26,'Null-10'!$P$60:$AA$67,"&lt;=" &amp; V26)+COUNTIFS('Null-10'!$P$71:$AA$78,"&gt;" &amp; U26,'Null-10'!$P$71:$AA$78,"&lt;=" &amp; V26)+COUNTIFS('Null-10'!$P$83:$AA$90,"&gt;" &amp; U26,'Null-10'!$P$83:$AA$90,"&lt;=" &amp; V26)+COUNTIFS('Null-10'!$P$94:$AA$101,"&gt;" &amp; U26,'Null-10'!$P$94:$AA$101,"&lt;=" &amp; V26)</f>
        <v>0</v>
      </c>
      <c r="X26" s="175"/>
      <c r="Y26" s="176">
        <v>460</v>
      </c>
      <c r="Z26" s="176">
        <v>480</v>
      </c>
      <c r="AA26" s="177">
        <f>COUNTIFS('Null-12 2000-500'!$P$3:$AA$10,"&gt;" &amp; Y26,'Null-12 2000-500'!$P$3:$AA$10,"&lt;=" &amp; Z26)+COUNTIFS('Null-12 500-250'!$P$15:$AA$22,"&gt;" &amp;Y26,'Null-12 500-250'!$P$15:$AA$22,"&lt;=" &amp; Z26)+COUNTIFS('Null-12 500-250'!$P$27:$AA$34,"&gt;" &amp; Y26,'Null-12 500-250'!$P$27:$AA$34,"&lt;=" &amp; Z26)+COUNTIFS('Null-12 500-250'!$P$3:$AA$10,"&gt;" &amp; Y26,'Null-12 500-250'!$P$3:$AA$10,"&lt;=" &amp; Z26)+COUNTIFS('EXP 12 250-125 redo'!$P$3:$AA$10,"&gt;" &amp; Y26,'EXP 12 250-125 redo'!$P$3:$AA$10,"&lt;=" &amp; Z26)</f>
        <v>1</v>
      </c>
      <c r="AB26" s="175"/>
      <c r="AC26" s="176">
        <v>460</v>
      </c>
      <c r="AD26" s="176">
        <v>480</v>
      </c>
      <c r="AE26" s="177" t="e">
        <f t="shared" si="0"/>
        <v>#REF!</v>
      </c>
      <c r="AF26" s="182" t="s">
        <v>681</v>
      </c>
    </row>
    <row r="27" spans="1:32">
      <c r="A27" s="173">
        <v>480</v>
      </c>
      <c r="B27" s="173">
        <v>500</v>
      </c>
      <c r="C27" s="174">
        <f>COUNTIFS('Null-1a (Crack) 2000-500'!$P$3:$AA$10,"&gt;" &amp; A27,'Null-1a (Crack) 2000-500'!$P$3:$AA$10,"&lt;=" &amp; B27)+COUNTIFS('Null-1a (Crack) 500-250'!$P$3:$AA$10,"&gt;" &amp; A27,'Null-1a (Crack) 500-250'!$P$3:$AA$10,"&lt;=" &amp; B27)+COUNTIFS('Null-1a (Crack) 500-250'!$P$15:$AA$22,"&gt;" &amp; A27,'Null-1a (Crack) 500-250'!$P$15:$AA$22,"&lt;=" &amp; B27)+COUNTIFS('Null-1a (Crack) 250-125'!$P$3:AA$10,"&gt;" &amp; A27,'Null-1a (Crack) 250-125'!$P$3:$AA$10,"&lt;=" &amp; B27)</f>
        <v>0</v>
      </c>
      <c r="D27" s="175"/>
      <c r="E27" s="176">
        <v>480</v>
      </c>
      <c r="F27" s="176">
        <v>500</v>
      </c>
      <c r="G27" s="177" t="e">
        <f>COUNTIFS(#REF!,"&gt;" &amp; E27,#REF!,"&lt;=" &amp; F27)+COUNTIFS('Null-1b (Bowl) 500-250'!$P$3:$AA$10,"&gt;" &amp; E27,'Null-1b (Bowl) 500-250'!$P$3:$AA$10,"&lt;=" &amp; F27)+COUNTIFS('Null-1b (Bowl) 500-250'!$P$15:$AA$22,"&gt;" &amp; E27,'Null-1b (Bowl) 500-250'!$P$15:$AA$22,"&lt;=" &amp; F27)+COUNTIFS('Null-1b (Bowl) 500-250'!$P$27:$AA$34,"&gt;" &amp; E27,'Null-1b (Bowl) 500-250'!$P$27:$AA$34,"&lt;=" &amp; F27)+COUNTIFS('Null-1b (Bowl) 250-125'!$P$3:$AA$10,"&gt;" &amp; E27,'Null-1b (Bowl) 250-125'!$P$3:$AA$10,"&lt;=" &amp; F27)+COUNTIFS('Null-1b (Bowl) 250-125'!$P$14:$AA$21,"&gt;" &amp; E27,'Null-1b (Bowl) 250-125'!$P$14:$AA$21,"&lt;=" &amp; F27)+COUNTIFS('Null-1b (Bowl) 250-125'!$P$25:$AA$32,"&gt;" &amp; E27,'Null-1b (Bowl) 250-125'!$P$25:$AA$32,"&lt;=" &amp; F27)+COUNTIFS('Null-1b (Bowl) 250-125'!$P$36:$AA$43,"&gt;" &amp; E27,'Null-1b (Bowl) 250-125'!$P$36:$AA$43,"&lt;=" &amp; F27)</f>
        <v>#REF!</v>
      </c>
      <c r="H27" s="175"/>
      <c r="I27" s="178">
        <v>480</v>
      </c>
      <c r="J27" s="178">
        <v>500</v>
      </c>
      <c r="K27" s="179">
        <f>COUNTIFS('Null-1c (Control) 2000-250'!$P$3:$AA$10,"&gt;" &amp; I27,'Null-1c (Control) 2000-250'!$P$3:$AA$10,"&lt;=" &amp; J27)+COUNTIFS('Null-1c (Control) 250-125'!$P$3:$AA$10,"&gt;" &amp; I27,'Null-1c (Control) 250-125'!$P$3:$AA$10,"&lt;=" &amp; J27)+COUNTIFS('Null-1c (Control) 250-125'!$P$3:$AA$10,"&gt;" &amp; I27,'Null-1c (Control) 250-125'!$P$3:$AA$10,"&lt;=" &amp; J27)</f>
        <v>0</v>
      </c>
      <c r="L27" s="180"/>
      <c r="M27" s="181">
        <v>480</v>
      </c>
      <c r="N27" s="176">
        <v>500</v>
      </c>
      <c r="O27" s="177">
        <f>COUNTIFS('Null-3 2000-500'!$P$3:$AA$10,"&gt;" &amp; M27,'Null-3 2000-500'!$P$3:$AA$10,"&lt;=" &amp; N27)+COUNTIFS('Null-3 500-250'!$P$3:$AA$10,"&gt;" &amp; M27,'Null-3 500-250'!$P$3:$AA$10,"&lt;=" &amp; N27)+COUNTIFS('Null-3 500-250'!$P$14:$AA$21,"&gt;" &amp; M27,'Null-3 500-250'!$P$14:$AA$21,"&lt;=" &amp; N27)+COUNTIFS('Null-3 500-250'!$P$25:$AA$32,"&gt;" &amp; M27,'Null-3 500-250'!$P$25:$AA$32,"&lt;=" &amp; N27)+COUNTIFS('Null-3 500-250'!$P$36:$AA$43,"&gt;" &amp; M27,'Null-3 500-250'!$P$36:$AA$43,"&lt;=" &amp; N27)+COUNTIFS('Null-3 500-250'!$P$47:$AA$54,"&gt;" &amp; M27,'Null-3 500-250'!$P$47:$AA$54,"&lt;=" &amp; N27)+COUNTIFS('Null-3 500-250'!$P$59:$AA$66,"&gt;" &amp; M27,'Null-3 500-250'!$P$59:$AA$66,"&lt;=" &amp; N27)+COUNTIFS('Null-3 125-250'!$P$3:$AA$10,"&gt;" &amp; M27,'Null-3 125-250'!$P$3:$AA$10,"&lt;=" &amp; N27)+COUNTIFS('Null-3 125-250'!$P$15:$AA$22,"&gt;" &amp; M27,'Null-3 125-250'!$P$15:$AA$22,"&lt;=" &amp; N27)+COUNTIFS('Null-3 125-250'!$P$27:$AA$34,"&gt;" &amp; M27,'Null-3 125-250'!$P$27:$AA$34,"&lt;=" &amp; N27)</f>
        <v>2</v>
      </c>
      <c r="P27" s="175"/>
      <c r="Q27" s="176">
        <v>480</v>
      </c>
      <c r="R27" s="176">
        <v>500</v>
      </c>
      <c r="S27" s="177">
        <f>COUNTIFS('Null-6 2000-500'!$P$3:$AA$10,"&gt;" &amp; Q27,'Null-6 2000-500'!$P$3:$AA$10,"&lt;=" &amp; R27)+COUNTIFS('Null-6 2000-500'!$P$15:$AA$22,"&gt;" &amp; Q27,'Null-6 2000-500'!$P$15:$AA$22,"&lt;=" &amp; R27)+COUNTIFS('Null-6 500-250'!$P$3:$AA$10,"&gt;" &amp; Q27,'Null-6 500-250'!$P$3:$AA$10,"&lt;=" &amp; R27)+COUNTIFS('Null-6 500-250'!$P$15:$AA$22,"&gt;" &amp; Q27,'Null-6 500-250'!$P$15:$AA$22,"&lt;=" &amp; R27)+COUNTIFS('Null-6 250-125'!$P$3:$AA$10,"&gt;" &amp; Q27,'Null-6 250-125'!$P$3:$AA$10,"&lt;=" &amp; R27)+COUNTIFS('Null-6 250-125'!$P$16:$AA$23,"&gt;" &amp; Q27,'Null-6 250-125'!$P$16:$AA$23,"&lt;=" &amp; R27)+COUNTIFS('Null-6 250-125'!$P$29:$AA$36,"&gt;" &amp; Q27,'Null-6 250-125'!$P$29:$AA$36,"&lt;=" &amp; R27)</f>
        <v>0</v>
      </c>
      <c r="T27" s="175"/>
      <c r="U27" s="176">
        <v>480</v>
      </c>
      <c r="V27" s="176">
        <v>500</v>
      </c>
      <c r="W27" s="177">
        <f>COUNTIFS('Null-10'!$P$3:$AA$10,"&gt;" &amp; U27,'Null-10'!$P$3:$AA$10,"&lt;=" &amp; V27)+COUNTIFS('Null-10'!$P$16:$AA$23,"&gt;" &amp; U27,'Null-10'!$P$16:$AA$23,"&lt;=" &amp; V27)+COUNTIFS('Null-10'!$P$27:$AA$34,"&gt;" &amp; U27,'Null-10'!$P$27:$AA$34,"&lt;=" &amp; V27)+COUNTIFS('Null-10'!$P$38:$AA$45,"&gt;" &amp; U27,'Null-10'!$P$38:$AA$45,"&lt;=" &amp; V27)+COUNTIFS('Null-10'!$P$49:$AA$56,"&gt;" &amp; U27,'Null-10'!$P$49:$AA$56,"&lt;=" &amp; V27)+COUNTIFS('Null-10'!$P$60:$AA$67,"&gt;" &amp; U27,'Null-10'!$P$60:$AA$67,"&lt;=" &amp; V27)+COUNTIFS('Null-10'!$P$71:$AA$78,"&gt;" &amp; U27,'Null-10'!$P$71:$AA$78,"&lt;=" &amp; V27)+COUNTIFS('Null-10'!$P$83:$AA$90,"&gt;" &amp; U27,'Null-10'!$P$83:$AA$90,"&lt;=" &amp; V27)+COUNTIFS('Null-10'!$P$94:$AA$101,"&gt;" &amp; U27,'Null-10'!$P$94:$AA$101,"&lt;=" &amp; V27)</f>
        <v>0</v>
      </c>
      <c r="X27" s="175"/>
      <c r="Y27" s="176">
        <v>480</v>
      </c>
      <c r="Z27" s="176">
        <v>500</v>
      </c>
      <c r="AA27" s="177">
        <f>COUNTIFS('Null-12 2000-500'!$P$3:$AA$10,"&gt;" &amp; Y27,'Null-12 2000-500'!$P$3:$AA$10,"&lt;=" &amp; Z27)+COUNTIFS('Null-12 500-250'!$P$15:$AA$22,"&gt;" &amp;Y27,'Null-12 500-250'!$P$15:$AA$22,"&lt;=" &amp; Z27)+COUNTIFS('Null-12 500-250'!$P$27:$AA$34,"&gt;" &amp; Y27,'Null-12 500-250'!$P$27:$AA$34,"&lt;=" &amp; Z27)+COUNTIFS('Null-12 500-250'!$P$3:$AA$10,"&gt;" &amp; Y27,'Null-12 500-250'!$P$3:$AA$10,"&lt;=" &amp; Z27)+COUNTIFS('EXP 12 250-125 redo'!$P$3:$AA$10,"&gt;" &amp; Y27,'EXP 12 250-125 redo'!$P$3:$AA$10,"&lt;=" &amp; Z27)</f>
        <v>1</v>
      </c>
      <c r="AB27" s="175"/>
      <c r="AC27" s="176">
        <v>480</v>
      </c>
      <c r="AD27" s="176">
        <v>500</v>
      </c>
      <c r="AE27" s="177" t="e">
        <f t="shared" si="0"/>
        <v>#REF!</v>
      </c>
      <c r="AF27" s="182" t="s">
        <v>682</v>
      </c>
    </row>
    <row r="28" spans="1:32">
      <c r="A28" s="173">
        <v>500</v>
      </c>
      <c r="B28" s="173">
        <v>520</v>
      </c>
      <c r="C28" s="174">
        <f>COUNTIFS('Null-1a (Crack) 2000-500'!$P$3:$AA$10,"&gt;" &amp; A28,'Null-1a (Crack) 2000-500'!$P$3:$AA$10,"&lt;=" &amp; B28)+COUNTIFS('Null-1a (Crack) 500-250'!$P$3:$AA$10,"&gt;" &amp; A28,'Null-1a (Crack) 500-250'!$P$3:$AA$10,"&lt;=" &amp; B28)+COUNTIFS('Null-1a (Crack) 500-250'!$P$15:$AA$22,"&gt;" &amp; A28,'Null-1a (Crack) 500-250'!$P$15:$AA$22,"&lt;=" &amp; B28)+COUNTIFS('Null-1a (Crack) 250-125'!$P$3:AA$10,"&gt;" &amp; A28,'Null-1a (Crack) 250-125'!$P$3:$AA$10,"&lt;=" &amp; B28)</f>
        <v>0</v>
      </c>
      <c r="D28" s="175"/>
      <c r="E28" s="176">
        <v>500</v>
      </c>
      <c r="F28" s="176">
        <v>520</v>
      </c>
      <c r="G28" s="177" t="e">
        <f>COUNTIFS(#REF!,"&gt;" &amp; E28,#REF!,"&lt;=" &amp; F28)+COUNTIFS('Null-1b (Bowl) 500-250'!$P$3:$AA$10,"&gt;" &amp; E28,'Null-1b (Bowl) 500-250'!$P$3:$AA$10,"&lt;=" &amp; F28)+COUNTIFS('Null-1b (Bowl) 500-250'!$P$15:$AA$22,"&gt;" &amp; E28,'Null-1b (Bowl) 500-250'!$P$15:$AA$22,"&lt;=" &amp; F28)+COUNTIFS('Null-1b (Bowl) 500-250'!$P$27:$AA$34,"&gt;" &amp; E28,'Null-1b (Bowl) 500-250'!$P$27:$AA$34,"&lt;=" &amp; F28)+COUNTIFS('Null-1b (Bowl) 250-125'!$P$3:$AA$10,"&gt;" &amp; E28,'Null-1b (Bowl) 250-125'!$P$3:$AA$10,"&lt;=" &amp; F28)+COUNTIFS('Null-1b (Bowl) 250-125'!$P$14:$AA$21,"&gt;" &amp; E28,'Null-1b (Bowl) 250-125'!$P$14:$AA$21,"&lt;=" &amp; F28)+COUNTIFS('Null-1b (Bowl) 250-125'!$P$25:$AA$32,"&gt;" &amp; E28,'Null-1b (Bowl) 250-125'!$P$25:$AA$32,"&lt;=" &amp; F28)+COUNTIFS('Null-1b (Bowl) 250-125'!$P$36:$AA$43,"&gt;" &amp; E28,'Null-1b (Bowl) 250-125'!$P$36:$AA$43,"&lt;=" &amp; F28)</f>
        <v>#REF!</v>
      </c>
      <c r="H28" s="175"/>
      <c r="I28" s="178">
        <v>500</v>
      </c>
      <c r="J28" s="178">
        <v>520</v>
      </c>
      <c r="K28" s="179">
        <f>COUNTIFS('Null-1c (Control) 2000-250'!$P$3:$AA$10,"&gt;" &amp; I28,'Null-1c (Control) 2000-250'!$P$3:$AA$10,"&lt;=" &amp; J28)+COUNTIFS('Null-1c (Control) 250-125'!$P$3:$AA$10,"&gt;" &amp; I28,'Null-1c (Control) 250-125'!$P$3:$AA$10,"&lt;=" &amp; J28)+COUNTIFS('Null-1c (Control) 250-125'!$P$3:$AA$10,"&gt;" &amp; I28,'Null-1c (Control) 250-125'!$P$3:$AA$10,"&lt;=" &amp; J28)</f>
        <v>0</v>
      </c>
      <c r="L28" s="183"/>
      <c r="M28" s="178">
        <v>500</v>
      </c>
      <c r="N28" s="176">
        <v>520</v>
      </c>
      <c r="O28" s="177">
        <f>COUNTIFS('Null-3 2000-500'!$P$3:$AA$10,"&gt;" &amp; M28,'Null-3 2000-500'!$P$3:$AA$10,"&lt;=" &amp; N28)+COUNTIFS('Null-3 500-250'!$P$3:$AA$10,"&gt;" &amp; M28,'Null-3 500-250'!$P$3:$AA$10,"&lt;=" &amp; N28)+COUNTIFS('Null-3 500-250'!$P$14:$AA$21,"&gt;" &amp; M28,'Null-3 500-250'!$P$14:$AA$21,"&lt;=" &amp; N28)+COUNTIFS('Null-3 500-250'!$P$25:$AA$32,"&gt;" &amp; M28,'Null-3 500-250'!$P$25:$AA$32,"&lt;=" &amp; N28)+COUNTIFS('Null-3 500-250'!$P$36:$AA$43,"&gt;" &amp; M28,'Null-3 500-250'!$P$36:$AA$43,"&lt;=" &amp; N28)+COUNTIFS('Null-3 500-250'!$P$47:$AA$54,"&gt;" &amp; M28,'Null-3 500-250'!$P$47:$AA$54,"&lt;=" &amp; N28)+COUNTIFS('Null-3 500-250'!$P$59:$AA$66,"&gt;" &amp; M28,'Null-3 500-250'!$P$59:$AA$66,"&lt;=" &amp; N28)+COUNTIFS('Null-3 125-250'!$P$3:$AA$10,"&gt;" &amp; M28,'Null-3 125-250'!$P$3:$AA$10,"&lt;=" &amp; N28)+COUNTIFS('Null-3 125-250'!$P$15:$AA$22,"&gt;" &amp; M28,'Null-3 125-250'!$P$15:$AA$22,"&lt;=" &amp; N28)+COUNTIFS('Null-3 125-250'!$P$27:$AA$34,"&gt;" &amp; M28,'Null-3 125-250'!$P$27:$AA$34,"&lt;=" &amp; N28)</f>
        <v>0</v>
      </c>
      <c r="P28" s="175"/>
      <c r="Q28" s="176">
        <v>500</v>
      </c>
      <c r="R28" s="176">
        <v>520</v>
      </c>
      <c r="S28" s="177">
        <f>COUNTIFS('Null-6 2000-500'!$P$3:$AA$10,"&gt;" &amp; Q28,'Null-6 2000-500'!$P$3:$AA$10,"&lt;=" &amp; R28)+COUNTIFS('Null-6 2000-500'!$P$15:$AA$22,"&gt;" &amp; Q28,'Null-6 2000-500'!$P$15:$AA$22,"&lt;=" &amp; R28)+COUNTIFS('Null-6 500-250'!$P$3:$AA$10,"&gt;" &amp; Q28,'Null-6 500-250'!$P$3:$AA$10,"&lt;=" &amp; R28)+COUNTIFS('Null-6 500-250'!$P$15:$AA$22,"&gt;" &amp; Q28,'Null-6 500-250'!$P$15:$AA$22,"&lt;=" &amp; R28)+COUNTIFS('Null-6 250-125'!$P$3:$AA$10,"&gt;" &amp; Q28,'Null-6 250-125'!$P$3:$AA$10,"&lt;=" &amp; R28)+COUNTIFS('Null-6 250-125'!$P$16:$AA$23,"&gt;" &amp; Q28,'Null-6 250-125'!$P$16:$AA$23,"&lt;=" &amp; R28)+COUNTIFS('Null-6 250-125'!$P$29:$AA$36,"&gt;" &amp; Q28,'Null-6 250-125'!$P$29:$AA$36,"&lt;=" &amp; R28)</f>
        <v>0</v>
      </c>
      <c r="T28" s="175"/>
      <c r="U28" s="176">
        <v>500</v>
      </c>
      <c r="V28" s="176">
        <v>520</v>
      </c>
      <c r="W28" s="177">
        <f>COUNTIFS('Null-10'!$P$3:$AA$10,"&gt;" &amp; U28,'Null-10'!$P$3:$AA$10,"&lt;=" &amp; V28)+COUNTIFS('Null-10'!$P$16:$AA$23,"&gt;" &amp; U28,'Null-10'!$P$16:$AA$23,"&lt;=" &amp; V28)+COUNTIFS('Null-10'!$P$27:$AA$34,"&gt;" &amp; U28,'Null-10'!$P$27:$AA$34,"&lt;=" &amp; V28)+COUNTIFS('Null-10'!$P$38:$AA$45,"&gt;" &amp; U28,'Null-10'!$P$38:$AA$45,"&lt;=" &amp; V28)+COUNTIFS('Null-10'!$P$49:$AA$56,"&gt;" &amp; U28,'Null-10'!$P$49:$AA$56,"&lt;=" &amp; V28)+COUNTIFS('Null-10'!$P$60:$AA$67,"&gt;" &amp; U28,'Null-10'!$P$60:$AA$67,"&lt;=" &amp; V28)+COUNTIFS('Null-10'!$P$71:$AA$78,"&gt;" &amp; U28,'Null-10'!$P$71:$AA$78,"&lt;=" &amp; V28)+COUNTIFS('Null-10'!$P$83:$AA$90,"&gt;" &amp; U28,'Null-10'!$P$83:$AA$90,"&lt;=" &amp; V28)+COUNTIFS('Null-10'!$P$94:$AA$101,"&gt;" &amp; U28,'Null-10'!$P$94:$AA$101,"&lt;=" &amp; V28)</f>
        <v>0</v>
      </c>
      <c r="X28" s="175"/>
      <c r="Y28" s="176">
        <v>500</v>
      </c>
      <c r="Z28" s="176">
        <v>520</v>
      </c>
      <c r="AA28" s="177">
        <f>COUNTIFS('Null-12 2000-500'!$P$3:$AA$10,"&gt;" &amp; Y28,'Null-12 2000-500'!$P$3:$AA$10,"&lt;=" &amp; Z28)+COUNTIFS('Null-12 500-250'!$P$15:$AA$22,"&gt;" &amp;Y28,'Null-12 500-250'!$P$15:$AA$22,"&lt;=" &amp; Z28)+COUNTIFS('Null-12 500-250'!$P$27:$AA$34,"&gt;" &amp; Y28,'Null-12 500-250'!$P$27:$AA$34,"&lt;=" &amp; Z28)+COUNTIFS('Null-12 500-250'!$P$3:$AA$10,"&gt;" &amp; Y28,'Null-12 500-250'!$P$3:$AA$10,"&lt;=" &amp; Z28)+COUNTIFS('EXP 12 250-125 redo'!$P$3:$AA$10,"&gt;" &amp; Y28,'EXP 12 250-125 redo'!$P$3:$AA$10,"&lt;=" &amp; Z28)</f>
        <v>0</v>
      </c>
      <c r="AB28" s="175"/>
      <c r="AC28" s="176">
        <v>500</v>
      </c>
      <c r="AD28" s="176">
        <v>520</v>
      </c>
      <c r="AE28" s="177" t="e">
        <f t="shared" si="0"/>
        <v>#REF!</v>
      </c>
      <c r="AF28" s="182" t="s">
        <v>683</v>
      </c>
    </row>
    <row r="29" spans="1:32">
      <c r="A29" s="173">
        <v>520</v>
      </c>
      <c r="B29" s="173">
        <v>540</v>
      </c>
      <c r="C29" s="174">
        <f>COUNTIFS('Null-1a (Crack) 2000-500'!$P$3:$AA$10,"&gt;" &amp; A29,'Null-1a (Crack) 2000-500'!$P$3:$AA$10,"&lt;=" &amp; B29)+COUNTIFS('Null-1a (Crack) 500-250'!$P$3:$AA$10,"&gt;" &amp; A29,'Null-1a (Crack) 500-250'!$P$3:$AA$10,"&lt;=" &amp; B29)+COUNTIFS('Null-1a (Crack) 500-250'!$P$15:$AA$22,"&gt;" &amp; A29,'Null-1a (Crack) 500-250'!$P$15:$AA$22,"&lt;=" &amp; B29)+COUNTIFS('Null-1a (Crack) 250-125'!$P$3:AA$10,"&gt;" &amp; A29,'Null-1a (Crack) 250-125'!$P$3:$AA$10,"&lt;=" &amp; B29)</f>
        <v>0</v>
      </c>
      <c r="D29" s="175"/>
      <c r="E29" s="176">
        <v>520</v>
      </c>
      <c r="F29" s="176">
        <v>540</v>
      </c>
      <c r="G29" s="177" t="e">
        <f>COUNTIFS(#REF!,"&gt;" &amp; E29,#REF!,"&lt;=" &amp; F29)+COUNTIFS('Null-1b (Bowl) 500-250'!$P$3:$AA$10,"&gt;" &amp; E29,'Null-1b (Bowl) 500-250'!$P$3:$AA$10,"&lt;=" &amp; F29)+COUNTIFS('Null-1b (Bowl) 500-250'!$P$15:$AA$22,"&gt;" &amp; E29,'Null-1b (Bowl) 500-250'!$P$15:$AA$22,"&lt;=" &amp; F29)+COUNTIFS('Null-1b (Bowl) 500-250'!$P$27:$AA$34,"&gt;" &amp; E29,'Null-1b (Bowl) 500-250'!$P$27:$AA$34,"&lt;=" &amp; F29)+COUNTIFS('Null-1b (Bowl) 250-125'!$P$3:$AA$10,"&gt;" &amp; E29,'Null-1b (Bowl) 250-125'!$P$3:$AA$10,"&lt;=" &amp; F29)+COUNTIFS('Null-1b (Bowl) 250-125'!$P$14:$AA$21,"&gt;" &amp; E29,'Null-1b (Bowl) 250-125'!$P$14:$AA$21,"&lt;=" &amp; F29)+COUNTIFS('Null-1b (Bowl) 250-125'!$P$25:$AA$32,"&gt;" &amp; E29,'Null-1b (Bowl) 250-125'!$P$25:$AA$32,"&lt;=" &amp; F29)+COUNTIFS('Null-1b (Bowl) 250-125'!$P$36:$AA$43,"&gt;" &amp; E29,'Null-1b (Bowl) 250-125'!$P$36:$AA$43,"&lt;=" &amp; F29)</f>
        <v>#REF!</v>
      </c>
      <c r="H29" s="175"/>
      <c r="I29" s="178">
        <v>520</v>
      </c>
      <c r="J29" s="178">
        <v>540</v>
      </c>
      <c r="K29" s="179">
        <f>COUNTIFS('Null-1c (Control) 2000-250'!$P$3:$AA$10,"&gt;" &amp; I29,'Null-1c (Control) 2000-250'!$P$3:$AA$10,"&lt;=" &amp; J29)+COUNTIFS('Null-1c (Control) 250-125'!$P$3:$AA$10,"&gt;" &amp; I29,'Null-1c (Control) 250-125'!$P$3:$AA$10,"&lt;=" &amp; J29)+COUNTIFS('Null-1c (Control) 250-125'!$P$3:$AA$10,"&gt;" &amp; I29,'Null-1c (Control) 250-125'!$P$3:$AA$10,"&lt;=" &amp; J29)</f>
        <v>0</v>
      </c>
      <c r="L29" s="183"/>
      <c r="M29" s="178">
        <v>520</v>
      </c>
      <c r="N29" s="176">
        <v>540</v>
      </c>
      <c r="O29" s="177">
        <f>COUNTIFS('Null-3 2000-500'!$P$3:$AA$10,"&gt;" &amp; M29,'Null-3 2000-500'!$P$3:$AA$10,"&lt;=" &amp; N29)+COUNTIFS('Null-3 500-250'!$P$3:$AA$10,"&gt;" &amp; M29,'Null-3 500-250'!$P$3:$AA$10,"&lt;=" &amp; N29)+COUNTIFS('Null-3 500-250'!$P$14:$AA$21,"&gt;" &amp; M29,'Null-3 500-250'!$P$14:$AA$21,"&lt;=" &amp; N29)+COUNTIFS('Null-3 500-250'!$P$25:$AA$32,"&gt;" &amp; M29,'Null-3 500-250'!$P$25:$AA$32,"&lt;=" &amp; N29)+COUNTIFS('Null-3 500-250'!$P$36:$AA$43,"&gt;" &amp; M29,'Null-3 500-250'!$P$36:$AA$43,"&lt;=" &amp; N29)+COUNTIFS('Null-3 500-250'!$P$47:$AA$54,"&gt;" &amp; M29,'Null-3 500-250'!$P$47:$AA$54,"&lt;=" &amp; N29)+COUNTIFS('Null-3 500-250'!$P$59:$AA$66,"&gt;" &amp; M29,'Null-3 500-250'!$P$59:$AA$66,"&lt;=" &amp; N29)+COUNTIFS('Null-3 125-250'!$P$3:$AA$10,"&gt;" &amp; M29,'Null-3 125-250'!$P$3:$AA$10,"&lt;=" &amp; N29)+COUNTIFS('Null-3 125-250'!$P$15:$AA$22,"&gt;" &amp; M29,'Null-3 125-250'!$P$15:$AA$22,"&lt;=" &amp; N29)+COUNTIFS('Null-3 125-250'!$P$27:$AA$34,"&gt;" &amp; M29,'Null-3 125-250'!$P$27:$AA$34,"&lt;=" &amp; N29)</f>
        <v>1</v>
      </c>
      <c r="P29" s="175"/>
      <c r="Q29" s="176">
        <v>520</v>
      </c>
      <c r="R29" s="176">
        <v>540</v>
      </c>
      <c r="S29" s="177">
        <f>COUNTIFS('Null-6 2000-500'!$P$3:$AA$10,"&gt;" &amp; Q29,'Null-6 2000-500'!$P$3:$AA$10,"&lt;=" &amp; R29)+COUNTIFS('Null-6 2000-500'!$P$15:$AA$22,"&gt;" &amp; Q29,'Null-6 2000-500'!$P$15:$AA$22,"&lt;=" &amp; R29)+COUNTIFS('Null-6 500-250'!$P$3:$AA$10,"&gt;" &amp; Q29,'Null-6 500-250'!$P$3:$AA$10,"&lt;=" &amp; R29)+COUNTIFS('Null-6 500-250'!$P$15:$AA$22,"&gt;" &amp; Q29,'Null-6 500-250'!$P$15:$AA$22,"&lt;=" &amp; R29)+COUNTIFS('Null-6 250-125'!$P$3:$AA$10,"&gt;" &amp; Q29,'Null-6 250-125'!$P$3:$AA$10,"&lt;=" &amp; R29)+COUNTIFS('Null-6 250-125'!$P$16:$AA$23,"&gt;" &amp; Q29,'Null-6 250-125'!$P$16:$AA$23,"&lt;=" &amp; R29)+COUNTIFS('Null-6 250-125'!$P$29:$AA$36,"&gt;" &amp; Q29,'Null-6 250-125'!$P$29:$AA$36,"&lt;=" &amp; R29)</f>
        <v>0</v>
      </c>
      <c r="T29" s="175"/>
      <c r="U29" s="176">
        <v>520</v>
      </c>
      <c r="V29" s="176">
        <v>540</v>
      </c>
      <c r="W29" s="177">
        <f>COUNTIFS('Null-10'!$P$3:$AA$10,"&gt;" &amp; U29,'Null-10'!$P$3:$AA$10,"&lt;=" &amp; V29)+COUNTIFS('Null-10'!$P$16:$AA$23,"&gt;" &amp; U29,'Null-10'!$P$16:$AA$23,"&lt;=" &amp; V29)+COUNTIFS('Null-10'!$P$27:$AA$34,"&gt;" &amp; U29,'Null-10'!$P$27:$AA$34,"&lt;=" &amp; V29)+COUNTIFS('Null-10'!$P$38:$AA$45,"&gt;" &amp; U29,'Null-10'!$P$38:$AA$45,"&lt;=" &amp; V29)+COUNTIFS('Null-10'!$P$49:$AA$56,"&gt;" &amp; U29,'Null-10'!$P$49:$AA$56,"&lt;=" &amp; V29)+COUNTIFS('Null-10'!$P$60:$AA$67,"&gt;" &amp; U29,'Null-10'!$P$60:$AA$67,"&lt;=" &amp; V29)+COUNTIFS('Null-10'!$P$71:$AA$78,"&gt;" &amp; U29,'Null-10'!$P$71:$AA$78,"&lt;=" &amp; V29)+COUNTIFS('Null-10'!$P$83:$AA$90,"&gt;" &amp; U29,'Null-10'!$P$83:$AA$90,"&lt;=" &amp; V29)+COUNTIFS('Null-10'!$P$94:$AA$101,"&gt;" &amp; U29,'Null-10'!$P$94:$AA$101,"&lt;=" &amp; V29)</f>
        <v>0</v>
      </c>
      <c r="X29" s="175"/>
      <c r="Y29" s="176">
        <v>520</v>
      </c>
      <c r="Z29" s="176">
        <v>540</v>
      </c>
      <c r="AA29" s="177">
        <f>COUNTIFS('Null-12 2000-500'!$P$3:$AA$10,"&gt;" &amp; Y29,'Null-12 2000-500'!$P$3:$AA$10,"&lt;=" &amp; Z29)+COUNTIFS('Null-12 500-250'!$P$15:$AA$22,"&gt;" &amp;Y29,'Null-12 500-250'!$P$15:$AA$22,"&lt;=" &amp; Z29)+COUNTIFS('Null-12 500-250'!$P$27:$AA$34,"&gt;" &amp; Y29,'Null-12 500-250'!$P$27:$AA$34,"&lt;=" &amp; Z29)+COUNTIFS('Null-12 500-250'!$P$3:$AA$10,"&gt;" &amp; Y29,'Null-12 500-250'!$P$3:$AA$10,"&lt;=" &amp; Z29)+COUNTIFS('EXP 12 250-125 redo'!$P$3:$AA$10,"&gt;" &amp; Y29,'EXP 12 250-125 redo'!$P$3:$AA$10,"&lt;=" &amp; Z29)</f>
        <v>0</v>
      </c>
      <c r="AB29" s="175"/>
      <c r="AC29" s="176">
        <v>520</v>
      </c>
      <c r="AD29" s="176">
        <v>540</v>
      </c>
      <c r="AE29" s="177" t="e">
        <f t="shared" si="0"/>
        <v>#REF!</v>
      </c>
      <c r="AF29" s="182" t="s">
        <v>684</v>
      </c>
    </row>
    <row r="30" spans="1:32">
      <c r="A30" s="173">
        <v>540</v>
      </c>
      <c r="B30" s="173">
        <v>560</v>
      </c>
      <c r="C30" s="174">
        <f>COUNTIFS('Null-1a (Crack) 2000-500'!$P$3:$AA$10,"&gt;" &amp; A30,'Null-1a (Crack) 2000-500'!$P$3:$AA$10,"&lt;=" &amp; B30)+COUNTIFS('Null-1a (Crack) 500-250'!$P$3:$AA$10,"&gt;" &amp; A30,'Null-1a (Crack) 500-250'!$P$3:$AA$10,"&lt;=" &amp; B30)+COUNTIFS('Null-1a (Crack) 500-250'!$P$15:$AA$22,"&gt;" &amp; A30,'Null-1a (Crack) 500-250'!$P$15:$AA$22,"&lt;=" &amp; B30)+COUNTIFS('Null-1a (Crack) 250-125'!$P$3:AA$10,"&gt;" &amp; A30,'Null-1a (Crack) 250-125'!$P$3:$AA$10,"&lt;=" &amp; B30)</f>
        <v>0</v>
      </c>
      <c r="D30" s="175"/>
      <c r="E30" s="176">
        <v>540</v>
      </c>
      <c r="F30" s="176">
        <v>560</v>
      </c>
      <c r="G30" s="177" t="e">
        <f>COUNTIFS(#REF!,"&gt;" &amp; E30,#REF!,"&lt;=" &amp; F30)+COUNTIFS('Null-1b (Bowl) 500-250'!$P$3:$AA$10,"&gt;" &amp; E30,'Null-1b (Bowl) 500-250'!$P$3:$AA$10,"&lt;=" &amp; F30)+COUNTIFS('Null-1b (Bowl) 500-250'!$P$15:$AA$22,"&gt;" &amp; E30,'Null-1b (Bowl) 500-250'!$P$15:$AA$22,"&lt;=" &amp; F30)+COUNTIFS('Null-1b (Bowl) 500-250'!$P$27:$AA$34,"&gt;" &amp; E30,'Null-1b (Bowl) 500-250'!$P$27:$AA$34,"&lt;=" &amp; F30)+COUNTIFS('Null-1b (Bowl) 250-125'!$P$3:$AA$10,"&gt;" &amp; E30,'Null-1b (Bowl) 250-125'!$P$3:$AA$10,"&lt;=" &amp; F30)+COUNTIFS('Null-1b (Bowl) 250-125'!$P$14:$AA$21,"&gt;" &amp; E30,'Null-1b (Bowl) 250-125'!$P$14:$AA$21,"&lt;=" &amp; F30)+COUNTIFS('Null-1b (Bowl) 250-125'!$P$25:$AA$32,"&gt;" &amp; E30,'Null-1b (Bowl) 250-125'!$P$25:$AA$32,"&lt;=" &amp; F30)+COUNTIFS('Null-1b (Bowl) 250-125'!$P$36:$AA$43,"&gt;" &amp; E30,'Null-1b (Bowl) 250-125'!$P$36:$AA$43,"&lt;=" &amp; F30)</f>
        <v>#REF!</v>
      </c>
      <c r="H30" s="175"/>
      <c r="I30" s="178">
        <v>540</v>
      </c>
      <c r="J30" s="178">
        <v>560</v>
      </c>
      <c r="K30" s="179">
        <f>COUNTIFS('Null-1c (Control) 2000-250'!$P$3:$AA$10,"&gt;" &amp; I30,'Null-1c (Control) 2000-250'!$P$3:$AA$10,"&lt;=" &amp; J30)+COUNTIFS('Null-1c (Control) 250-125'!$P$3:$AA$10,"&gt;" &amp; I30,'Null-1c (Control) 250-125'!$P$3:$AA$10,"&lt;=" &amp; J30)+COUNTIFS('Null-1c (Control) 250-125'!$P$3:$AA$10,"&gt;" &amp; I30,'Null-1c (Control) 250-125'!$P$3:$AA$10,"&lt;=" &amp; J30)</f>
        <v>0</v>
      </c>
      <c r="L30" s="183"/>
      <c r="M30" s="178">
        <v>540</v>
      </c>
      <c r="N30" s="176">
        <v>560</v>
      </c>
      <c r="O30" s="177">
        <f>COUNTIFS('Null-3 2000-500'!$P$3:$AA$10,"&gt;" &amp; M30,'Null-3 2000-500'!$P$3:$AA$10,"&lt;=" &amp; N30)+COUNTIFS('Null-3 500-250'!$P$3:$AA$10,"&gt;" &amp; M30,'Null-3 500-250'!$P$3:$AA$10,"&lt;=" &amp; N30)+COUNTIFS('Null-3 500-250'!$P$14:$AA$21,"&gt;" &amp; M30,'Null-3 500-250'!$P$14:$AA$21,"&lt;=" &amp; N30)+COUNTIFS('Null-3 500-250'!$P$25:$AA$32,"&gt;" &amp; M30,'Null-3 500-250'!$P$25:$AA$32,"&lt;=" &amp; N30)+COUNTIFS('Null-3 500-250'!$P$36:$AA$43,"&gt;" &amp; M30,'Null-3 500-250'!$P$36:$AA$43,"&lt;=" &amp; N30)+COUNTIFS('Null-3 500-250'!$P$47:$AA$54,"&gt;" &amp; M30,'Null-3 500-250'!$P$47:$AA$54,"&lt;=" &amp; N30)+COUNTIFS('Null-3 500-250'!$P$59:$AA$66,"&gt;" &amp; M30,'Null-3 500-250'!$P$59:$AA$66,"&lt;=" &amp; N30)+COUNTIFS('Null-3 125-250'!$P$3:$AA$10,"&gt;" &amp; M30,'Null-3 125-250'!$P$3:$AA$10,"&lt;=" &amp; N30)+COUNTIFS('Null-3 125-250'!$P$15:$AA$22,"&gt;" &amp; M30,'Null-3 125-250'!$P$15:$AA$22,"&lt;=" &amp; N30)+COUNTIFS('Null-3 125-250'!$P$27:$AA$34,"&gt;" &amp; M30,'Null-3 125-250'!$P$27:$AA$34,"&lt;=" &amp; N30)</f>
        <v>0</v>
      </c>
      <c r="P30" s="175"/>
      <c r="Q30" s="176">
        <v>540</v>
      </c>
      <c r="R30" s="176">
        <v>560</v>
      </c>
      <c r="S30" s="177">
        <f>COUNTIFS('Null-6 2000-500'!$P$3:$AA$10,"&gt;" &amp; Q30,'Null-6 2000-500'!$P$3:$AA$10,"&lt;=" &amp; R30)+COUNTIFS('Null-6 2000-500'!$P$15:$AA$22,"&gt;" &amp; Q30,'Null-6 2000-500'!$P$15:$AA$22,"&lt;=" &amp; R30)+COUNTIFS('Null-6 500-250'!$P$3:$AA$10,"&gt;" &amp; Q30,'Null-6 500-250'!$P$3:$AA$10,"&lt;=" &amp; R30)+COUNTIFS('Null-6 500-250'!$P$15:$AA$22,"&gt;" &amp; Q30,'Null-6 500-250'!$P$15:$AA$22,"&lt;=" &amp; R30)+COUNTIFS('Null-6 250-125'!$P$3:$AA$10,"&gt;" &amp; Q30,'Null-6 250-125'!$P$3:$AA$10,"&lt;=" &amp; R30)+COUNTIFS('Null-6 250-125'!$P$16:$AA$23,"&gt;" &amp; Q30,'Null-6 250-125'!$P$16:$AA$23,"&lt;=" &amp; R30)+COUNTIFS('Null-6 250-125'!$P$29:$AA$36,"&gt;" &amp; Q30,'Null-6 250-125'!$P$29:$AA$36,"&lt;=" &amp; R30)</f>
        <v>0</v>
      </c>
      <c r="T30" s="175"/>
      <c r="U30" s="176">
        <v>540</v>
      </c>
      <c r="V30" s="176">
        <v>560</v>
      </c>
      <c r="W30" s="177">
        <f>COUNTIFS('Null-10'!$P$3:$AA$10,"&gt;" &amp; U30,'Null-10'!$P$3:$AA$10,"&lt;=" &amp; V30)+COUNTIFS('Null-10'!$P$16:$AA$23,"&gt;" &amp; U30,'Null-10'!$P$16:$AA$23,"&lt;=" &amp; V30)+COUNTIFS('Null-10'!$P$27:$AA$34,"&gt;" &amp; U30,'Null-10'!$P$27:$AA$34,"&lt;=" &amp; V30)+COUNTIFS('Null-10'!$P$38:$AA$45,"&gt;" &amp; U30,'Null-10'!$P$38:$AA$45,"&lt;=" &amp; V30)+COUNTIFS('Null-10'!$P$49:$AA$56,"&gt;" &amp; U30,'Null-10'!$P$49:$AA$56,"&lt;=" &amp; V30)+COUNTIFS('Null-10'!$P$60:$AA$67,"&gt;" &amp; U30,'Null-10'!$P$60:$AA$67,"&lt;=" &amp; V30)+COUNTIFS('Null-10'!$P$71:$AA$78,"&gt;" &amp; U30,'Null-10'!$P$71:$AA$78,"&lt;=" &amp; V30)+COUNTIFS('Null-10'!$P$83:$AA$90,"&gt;" &amp; U30,'Null-10'!$P$83:$AA$90,"&lt;=" &amp; V30)+COUNTIFS('Null-10'!$P$94:$AA$101,"&gt;" &amp; U30,'Null-10'!$P$94:$AA$101,"&lt;=" &amp; V30)</f>
        <v>0</v>
      </c>
      <c r="X30" s="175"/>
      <c r="Y30" s="176">
        <v>540</v>
      </c>
      <c r="Z30" s="176">
        <v>560</v>
      </c>
      <c r="AA30" s="177">
        <f>COUNTIFS('Null-12 2000-500'!$P$3:$AA$10,"&gt;" &amp; Y30,'Null-12 2000-500'!$P$3:$AA$10,"&lt;=" &amp; Z30)+COUNTIFS('Null-12 500-250'!$P$15:$AA$22,"&gt;" &amp;Y30,'Null-12 500-250'!$P$15:$AA$22,"&lt;=" &amp; Z30)+COUNTIFS('Null-12 500-250'!$P$27:$AA$34,"&gt;" &amp; Y30,'Null-12 500-250'!$P$27:$AA$34,"&lt;=" &amp; Z30)+COUNTIFS('Null-12 500-250'!$P$3:$AA$10,"&gt;" &amp; Y30,'Null-12 500-250'!$P$3:$AA$10,"&lt;=" &amp; Z30)+COUNTIFS('EXP 12 250-125 redo'!$P$3:$AA$10,"&gt;" &amp; Y30,'EXP 12 250-125 redo'!$P$3:$AA$10,"&lt;=" &amp; Z30)</f>
        <v>0</v>
      </c>
      <c r="AB30" s="175"/>
      <c r="AC30" s="176">
        <v>540</v>
      </c>
      <c r="AD30" s="176">
        <v>560</v>
      </c>
      <c r="AE30" s="177" t="e">
        <f t="shared" si="0"/>
        <v>#REF!</v>
      </c>
      <c r="AF30" s="182" t="s">
        <v>685</v>
      </c>
    </row>
    <row r="31" spans="1:32">
      <c r="A31" s="173">
        <v>560</v>
      </c>
      <c r="B31" s="173">
        <v>580</v>
      </c>
      <c r="C31" s="174">
        <f>COUNTIFS('Null-1a (Crack) 2000-500'!$P$3:$AA$10,"&gt;" &amp; A31,'Null-1a (Crack) 2000-500'!$P$3:$AA$10,"&lt;=" &amp; B31)+COUNTIFS('Null-1a (Crack) 500-250'!$P$3:$AA$10,"&gt;" &amp; A31,'Null-1a (Crack) 500-250'!$P$3:$AA$10,"&lt;=" &amp; B31)+COUNTIFS('Null-1a (Crack) 500-250'!$P$15:$AA$22,"&gt;" &amp; A31,'Null-1a (Crack) 500-250'!$P$15:$AA$22,"&lt;=" &amp; B31)+COUNTIFS('Null-1a (Crack) 250-125'!$P$3:AA$10,"&gt;" &amp; A31,'Null-1a (Crack) 250-125'!$P$3:$AA$10,"&lt;=" &amp; B31)</f>
        <v>0</v>
      </c>
      <c r="D31" s="175"/>
      <c r="E31" s="176">
        <v>560</v>
      </c>
      <c r="F31" s="176">
        <v>580</v>
      </c>
      <c r="G31" s="177" t="e">
        <f>COUNTIFS(#REF!,"&gt;" &amp; E31,#REF!,"&lt;=" &amp; F31)+COUNTIFS('Null-1b (Bowl) 500-250'!$P$3:$AA$10,"&gt;" &amp; E31,'Null-1b (Bowl) 500-250'!$P$3:$AA$10,"&lt;=" &amp; F31)+COUNTIFS('Null-1b (Bowl) 500-250'!$P$15:$AA$22,"&gt;" &amp; E31,'Null-1b (Bowl) 500-250'!$P$15:$AA$22,"&lt;=" &amp; F31)+COUNTIFS('Null-1b (Bowl) 500-250'!$P$27:$AA$34,"&gt;" &amp; E31,'Null-1b (Bowl) 500-250'!$P$27:$AA$34,"&lt;=" &amp; F31)+COUNTIFS('Null-1b (Bowl) 250-125'!$P$3:$AA$10,"&gt;" &amp; E31,'Null-1b (Bowl) 250-125'!$P$3:$AA$10,"&lt;=" &amp; F31)+COUNTIFS('Null-1b (Bowl) 250-125'!$P$14:$AA$21,"&gt;" &amp; E31,'Null-1b (Bowl) 250-125'!$P$14:$AA$21,"&lt;=" &amp; F31)+COUNTIFS('Null-1b (Bowl) 250-125'!$P$25:$AA$32,"&gt;" &amp; E31,'Null-1b (Bowl) 250-125'!$P$25:$AA$32,"&lt;=" &amp; F31)+COUNTIFS('Null-1b (Bowl) 250-125'!$P$36:$AA$43,"&gt;" &amp; E31,'Null-1b (Bowl) 250-125'!$P$36:$AA$43,"&lt;=" &amp; F31)</f>
        <v>#REF!</v>
      </c>
      <c r="H31" s="175"/>
      <c r="I31" s="178">
        <v>560</v>
      </c>
      <c r="J31" s="178">
        <v>580</v>
      </c>
      <c r="K31" s="179">
        <f>COUNTIFS('Null-1c (Control) 2000-250'!$P$3:$AA$10,"&gt;" &amp; I31,'Null-1c (Control) 2000-250'!$P$3:$AA$10,"&lt;=" &amp; J31)+COUNTIFS('Null-1c (Control) 250-125'!$P$3:$AA$10,"&gt;" &amp; I31,'Null-1c (Control) 250-125'!$P$3:$AA$10,"&lt;=" &amp; J31)+COUNTIFS('Null-1c (Control) 250-125'!$P$3:$AA$10,"&gt;" &amp; I31,'Null-1c (Control) 250-125'!$P$3:$AA$10,"&lt;=" &amp; J31)</f>
        <v>0</v>
      </c>
      <c r="L31" s="183"/>
      <c r="M31" s="178">
        <v>560</v>
      </c>
      <c r="N31" s="176">
        <v>580</v>
      </c>
      <c r="O31" s="177">
        <f>COUNTIFS('Null-3 2000-500'!$P$3:$AA$10,"&gt;" &amp; M31,'Null-3 2000-500'!$P$3:$AA$10,"&lt;=" &amp; N31)+COUNTIFS('Null-3 500-250'!$P$3:$AA$10,"&gt;" &amp; M31,'Null-3 500-250'!$P$3:$AA$10,"&lt;=" &amp; N31)+COUNTIFS('Null-3 500-250'!$P$14:$AA$21,"&gt;" &amp; M31,'Null-3 500-250'!$P$14:$AA$21,"&lt;=" &amp; N31)+COUNTIFS('Null-3 500-250'!$P$25:$AA$32,"&gt;" &amp; M31,'Null-3 500-250'!$P$25:$AA$32,"&lt;=" &amp; N31)+COUNTIFS('Null-3 500-250'!$P$36:$AA$43,"&gt;" &amp; M31,'Null-3 500-250'!$P$36:$AA$43,"&lt;=" &amp; N31)+COUNTIFS('Null-3 500-250'!$P$47:$AA$54,"&gt;" &amp; M31,'Null-3 500-250'!$P$47:$AA$54,"&lt;=" &amp; N31)+COUNTIFS('Null-3 500-250'!$P$59:$AA$66,"&gt;" &amp; M31,'Null-3 500-250'!$P$59:$AA$66,"&lt;=" &amp; N31)+COUNTIFS('Null-3 125-250'!$P$3:$AA$10,"&gt;" &amp; M31,'Null-3 125-250'!$P$3:$AA$10,"&lt;=" &amp; N31)+COUNTIFS('Null-3 125-250'!$P$15:$AA$22,"&gt;" &amp; M31,'Null-3 125-250'!$P$15:$AA$22,"&lt;=" &amp; N31)+COUNTIFS('Null-3 125-250'!$P$27:$AA$34,"&gt;" &amp; M31,'Null-3 125-250'!$P$27:$AA$34,"&lt;=" &amp; N31)</f>
        <v>0</v>
      </c>
      <c r="P31" s="175"/>
      <c r="Q31" s="176">
        <v>560</v>
      </c>
      <c r="R31" s="176">
        <v>580</v>
      </c>
      <c r="S31" s="177">
        <f>COUNTIFS('Null-6 2000-500'!$P$3:$AA$10,"&gt;" &amp; Q31,'Null-6 2000-500'!$P$3:$AA$10,"&lt;=" &amp; R31)+COUNTIFS('Null-6 2000-500'!$P$15:$AA$22,"&gt;" &amp; Q31,'Null-6 2000-500'!$P$15:$AA$22,"&lt;=" &amp; R31)+COUNTIFS('Null-6 500-250'!$P$3:$AA$10,"&gt;" &amp; Q31,'Null-6 500-250'!$P$3:$AA$10,"&lt;=" &amp; R31)+COUNTIFS('Null-6 500-250'!$P$15:$AA$22,"&gt;" &amp; Q31,'Null-6 500-250'!$P$15:$AA$22,"&lt;=" &amp; R31)+COUNTIFS('Null-6 250-125'!$P$3:$AA$10,"&gt;" &amp; Q31,'Null-6 250-125'!$P$3:$AA$10,"&lt;=" &amp; R31)+COUNTIFS('Null-6 250-125'!$P$16:$AA$23,"&gt;" &amp; Q31,'Null-6 250-125'!$P$16:$AA$23,"&lt;=" &amp; R31)+COUNTIFS('Null-6 250-125'!$P$29:$AA$36,"&gt;" &amp; Q31,'Null-6 250-125'!$P$29:$AA$36,"&lt;=" &amp; R31)</f>
        <v>0</v>
      </c>
      <c r="T31" s="175"/>
      <c r="U31" s="176">
        <v>560</v>
      </c>
      <c r="V31" s="176">
        <v>580</v>
      </c>
      <c r="W31" s="177">
        <f>COUNTIFS('Null-10'!$P$3:$AA$10,"&gt;" &amp; U31,'Null-10'!$P$3:$AA$10,"&lt;=" &amp; V31)+COUNTIFS('Null-10'!$P$16:$AA$23,"&gt;" &amp; U31,'Null-10'!$P$16:$AA$23,"&lt;=" &amp; V31)+COUNTIFS('Null-10'!$P$27:$AA$34,"&gt;" &amp; U31,'Null-10'!$P$27:$AA$34,"&lt;=" &amp; V31)+COUNTIFS('Null-10'!$P$38:$AA$45,"&gt;" &amp; U31,'Null-10'!$P$38:$AA$45,"&lt;=" &amp; V31)+COUNTIFS('Null-10'!$P$49:$AA$56,"&gt;" &amp; U31,'Null-10'!$P$49:$AA$56,"&lt;=" &amp; V31)+COUNTIFS('Null-10'!$P$60:$AA$67,"&gt;" &amp; U31,'Null-10'!$P$60:$AA$67,"&lt;=" &amp; V31)+COUNTIFS('Null-10'!$P$71:$AA$78,"&gt;" &amp; U31,'Null-10'!$P$71:$AA$78,"&lt;=" &amp; V31)+COUNTIFS('Null-10'!$P$83:$AA$90,"&gt;" &amp; U31,'Null-10'!$P$83:$AA$90,"&lt;=" &amp; V31)+COUNTIFS('Null-10'!$P$94:$AA$101,"&gt;" &amp; U31,'Null-10'!$P$94:$AA$101,"&lt;=" &amp; V31)</f>
        <v>0</v>
      </c>
      <c r="X31" s="175"/>
      <c r="Y31" s="176">
        <v>560</v>
      </c>
      <c r="Z31" s="176">
        <v>580</v>
      </c>
      <c r="AA31" s="177">
        <f>COUNTIFS('Null-12 2000-500'!$P$3:$AA$10,"&gt;" &amp; Y31,'Null-12 2000-500'!$P$3:$AA$10,"&lt;=" &amp; Z31)+COUNTIFS('Null-12 500-250'!$P$15:$AA$22,"&gt;" &amp;Y31,'Null-12 500-250'!$P$15:$AA$22,"&lt;=" &amp; Z31)+COUNTIFS('Null-12 500-250'!$P$27:$AA$34,"&gt;" &amp; Y31,'Null-12 500-250'!$P$27:$AA$34,"&lt;=" &amp; Z31)+COUNTIFS('Null-12 500-250'!$P$3:$AA$10,"&gt;" &amp; Y31,'Null-12 500-250'!$P$3:$AA$10,"&lt;=" &amp; Z31)+COUNTIFS('EXP 12 250-125 redo'!$P$3:$AA$10,"&gt;" &amp; Y31,'EXP 12 250-125 redo'!$P$3:$AA$10,"&lt;=" &amp; Z31)</f>
        <v>0</v>
      </c>
      <c r="AB31" s="175"/>
      <c r="AC31" s="176">
        <v>560</v>
      </c>
      <c r="AD31" s="176">
        <v>580</v>
      </c>
      <c r="AE31" s="177" t="e">
        <f t="shared" si="0"/>
        <v>#REF!</v>
      </c>
      <c r="AF31" s="182" t="s">
        <v>686</v>
      </c>
    </row>
    <row r="32" spans="1:32">
      <c r="A32" s="173">
        <v>580</v>
      </c>
      <c r="B32" s="173">
        <v>600</v>
      </c>
      <c r="C32" s="174">
        <f>COUNTIFS('Null-1a (Crack) 2000-500'!$P$3:$AA$10,"&gt;" &amp; A32,'Null-1a (Crack) 2000-500'!$P$3:$AA$10,"&lt;=" &amp; B32)+COUNTIFS('Null-1a (Crack) 500-250'!$P$3:$AA$10,"&gt;" &amp; A32,'Null-1a (Crack) 500-250'!$P$3:$AA$10,"&lt;=" &amp; B32)+COUNTIFS('Null-1a (Crack) 500-250'!$P$15:$AA$22,"&gt;" &amp; A32,'Null-1a (Crack) 500-250'!$P$15:$AA$22,"&lt;=" &amp; B32)+COUNTIFS('Null-1a (Crack) 250-125'!$P$3:AA$10,"&gt;" &amp; A32,'Null-1a (Crack) 250-125'!$P$3:$AA$10,"&lt;=" &amp; B32)</f>
        <v>0</v>
      </c>
      <c r="D32" s="175"/>
      <c r="E32" s="176">
        <v>580</v>
      </c>
      <c r="F32" s="176">
        <v>600</v>
      </c>
      <c r="G32" s="177" t="e">
        <f>COUNTIFS(#REF!,"&gt;" &amp; E32,#REF!,"&lt;=" &amp; F32)+COUNTIFS('Null-1b (Bowl) 500-250'!$P$3:$AA$10,"&gt;" &amp; E32,'Null-1b (Bowl) 500-250'!$P$3:$AA$10,"&lt;=" &amp; F32)+COUNTIFS('Null-1b (Bowl) 500-250'!$P$15:$AA$22,"&gt;" &amp; E32,'Null-1b (Bowl) 500-250'!$P$15:$AA$22,"&lt;=" &amp; F32)+COUNTIFS('Null-1b (Bowl) 500-250'!$P$27:$AA$34,"&gt;" &amp; E32,'Null-1b (Bowl) 500-250'!$P$27:$AA$34,"&lt;=" &amp; F32)+COUNTIFS('Null-1b (Bowl) 250-125'!$P$3:$AA$10,"&gt;" &amp; E32,'Null-1b (Bowl) 250-125'!$P$3:$AA$10,"&lt;=" &amp; F32)+COUNTIFS('Null-1b (Bowl) 250-125'!$P$14:$AA$21,"&gt;" &amp; E32,'Null-1b (Bowl) 250-125'!$P$14:$AA$21,"&lt;=" &amp; F32)+COUNTIFS('Null-1b (Bowl) 250-125'!$P$25:$AA$32,"&gt;" &amp; E32,'Null-1b (Bowl) 250-125'!$P$25:$AA$32,"&lt;=" &amp; F32)+COUNTIFS('Null-1b (Bowl) 250-125'!$P$36:$AA$43,"&gt;" &amp; E32,'Null-1b (Bowl) 250-125'!$P$36:$AA$43,"&lt;=" &amp; F32)</f>
        <v>#REF!</v>
      </c>
      <c r="H32" s="175"/>
      <c r="I32" s="178">
        <v>580</v>
      </c>
      <c r="J32" s="178">
        <v>600</v>
      </c>
      <c r="K32" s="179">
        <f>COUNTIFS('Null-1c (Control) 2000-250'!$P$3:$AA$10,"&gt;" &amp; I32,'Null-1c (Control) 2000-250'!$P$3:$AA$10,"&lt;=" &amp; J32)+COUNTIFS('Null-1c (Control) 250-125'!$P$3:$AA$10,"&gt;" &amp; I32,'Null-1c (Control) 250-125'!$P$3:$AA$10,"&lt;=" &amp; J32)+COUNTIFS('Null-1c (Control) 250-125'!$P$3:$AA$10,"&gt;" &amp; I32,'Null-1c (Control) 250-125'!$P$3:$AA$10,"&lt;=" &amp; J32)</f>
        <v>0</v>
      </c>
      <c r="L32" s="183"/>
      <c r="M32" s="178">
        <v>580</v>
      </c>
      <c r="N32" s="176">
        <v>600</v>
      </c>
      <c r="O32" s="177">
        <f>COUNTIFS('Null-3 2000-500'!$P$3:$AA$10,"&gt;" &amp; M32,'Null-3 2000-500'!$P$3:$AA$10,"&lt;=" &amp; N32)+COUNTIFS('Null-3 500-250'!$P$3:$AA$10,"&gt;" &amp; M32,'Null-3 500-250'!$P$3:$AA$10,"&lt;=" &amp; N32)+COUNTIFS('Null-3 500-250'!$P$14:$AA$21,"&gt;" &amp; M32,'Null-3 500-250'!$P$14:$AA$21,"&lt;=" &amp; N32)+COUNTIFS('Null-3 500-250'!$P$25:$AA$32,"&gt;" &amp; M32,'Null-3 500-250'!$P$25:$AA$32,"&lt;=" &amp; N32)+COUNTIFS('Null-3 500-250'!$P$36:$AA$43,"&gt;" &amp; M32,'Null-3 500-250'!$P$36:$AA$43,"&lt;=" &amp; N32)+COUNTIFS('Null-3 500-250'!$P$47:$AA$54,"&gt;" &amp; M32,'Null-3 500-250'!$P$47:$AA$54,"&lt;=" &amp; N32)+COUNTIFS('Null-3 500-250'!$P$59:$AA$66,"&gt;" &amp; M32,'Null-3 500-250'!$P$59:$AA$66,"&lt;=" &amp; N32)+COUNTIFS('Null-3 125-250'!$P$3:$AA$10,"&gt;" &amp; M32,'Null-3 125-250'!$P$3:$AA$10,"&lt;=" &amp; N32)+COUNTIFS('Null-3 125-250'!$P$15:$AA$22,"&gt;" &amp; M32,'Null-3 125-250'!$P$15:$AA$22,"&lt;=" &amp; N32)+COUNTIFS('Null-3 125-250'!$P$27:$AA$34,"&gt;" &amp; M32,'Null-3 125-250'!$P$27:$AA$34,"&lt;=" &amp; N32)</f>
        <v>0</v>
      </c>
      <c r="P32" s="175"/>
      <c r="Q32" s="186">
        <v>580</v>
      </c>
      <c r="R32" s="186">
        <v>600</v>
      </c>
      <c r="S32" s="175">
        <f>COUNTIFS('Null-6 2000-500'!$P$3:$AA$10,"&gt;" &amp; Q32,'Null-6 2000-500'!$P$3:$AA$10,"&lt;=" &amp; R32)+COUNTIFS('Null-6 2000-500'!$P$15:$AA$22,"&gt;" &amp; Q32,'Null-6 2000-500'!$P$15:$AA$22,"&lt;=" &amp; R32)+COUNTIFS('Null-6 500-250'!$P$3:$AA$10,"&gt;" &amp; Q32,'Null-6 500-250'!$P$3:$AA$10,"&lt;=" &amp; R32)+COUNTIFS('Null-6 500-250'!$P$15:$AA$22,"&gt;" &amp; Q32,'Null-6 500-250'!$P$15:$AA$22,"&lt;=" &amp; R32)+COUNTIFS('Null-6 250-125'!$P$3:$AA$10,"&gt;" &amp; Q32,'Null-6 250-125'!$P$3:$AA$10,"&lt;=" &amp; R32)+COUNTIFS('Null-6 250-125'!$P$16:$AA$23,"&gt;" &amp; Q32,'Null-6 250-125'!$P$16:$AA$23,"&lt;=" &amp; R32)+COUNTIFS('Null-6 250-125'!$P$29:$AA$36,"&gt;" &amp; Q32,'Null-6 250-125'!$P$29:$AA$36,"&lt;=" &amp; R32)</f>
        <v>0</v>
      </c>
      <c r="T32" s="175"/>
      <c r="U32" s="176">
        <v>580</v>
      </c>
      <c r="V32" s="176">
        <v>600</v>
      </c>
      <c r="W32" s="177">
        <f>COUNTIFS('Null-10'!$P$3:$AA$10,"&gt;" &amp; U32,'Null-10'!$P$3:$AA$10,"&lt;=" &amp; V32)+COUNTIFS('Null-10'!$P$16:$AA$23,"&gt;" &amp; U32,'Null-10'!$P$16:$AA$23,"&lt;=" &amp; V32)+COUNTIFS('Null-10'!$P$27:$AA$34,"&gt;" &amp; U32,'Null-10'!$P$27:$AA$34,"&lt;=" &amp; V32)+COUNTIFS('Null-10'!$P$38:$AA$45,"&gt;" &amp; U32,'Null-10'!$P$38:$AA$45,"&lt;=" &amp; V32)+COUNTIFS('Null-10'!$P$49:$AA$56,"&gt;" &amp; U32,'Null-10'!$P$49:$AA$56,"&lt;=" &amp; V32)+COUNTIFS('Null-10'!$P$60:$AA$67,"&gt;" &amp; U32,'Null-10'!$P$60:$AA$67,"&lt;=" &amp; V32)+COUNTIFS('Null-10'!$P$71:$AA$78,"&gt;" &amp; U32,'Null-10'!$P$71:$AA$78,"&lt;=" &amp; V32)+COUNTIFS('Null-10'!$P$83:$AA$90,"&gt;" &amp; U32,'Null-10'!$P$83:$AA$90,"&lt;=" &amp; V32)+COUNTIFS('Null-10'!$P$94:$AA$101,"&gt;" &amp; U32,'Null-10'!$P$94:$AA$101,"&lt;=" &amp; V32)</f>
        <v>0</v>
      </c>
      <c r="X32" s="175"/>
      <c r="Y32" s="176">
        <v>580</v>
      </c>
      <c r="Z32" s="176">
        <v>600</v>
      </c>
      <c r="AA32" s="177">
        <f>COUNTIFS('Null-12 2000-500'!$P$3:$AA$10,"&gt;" &amp; Y32,'Null-12 2000-500'!$P$3:$AA$10,"&lt;=" &amp; Z32)+COUNTIFS('Null-12 500-250'!$P$15:$AA$22,"&gt;" &amp;Y32,'Null-12 500-250'!$P$15:$AA$22,"&lt;=" &amp; Z32)+COUNTIFS('Null-12 500-250'!$P$27:$AA$34,"&gt;" &amp; Y32,'Null-12 500-250'!$P$27:$AA$34,"&lt;=" &amp; Z32)+COUNTIFS('Null-12 500-250'!$P$3:$AA$10,"&gt;" &amp; Y32,'Null-12 500-250'!$P$3:$AA$10,"&lt;=" &amp; Z32)+COUNTIFS('EXP 12 250-125 redo'!$P$3:$AA$10,"&gt;" &amp; Y32,'EXP 12 250-125 redo'!$P$3:$AA$10,"&lt;=" &amp; Z32)</f>
        <v>0</v>
      </c>
      <c r="AB32" s="175"/>
      <c r="AC32" s="176">
        <v>580</v>
      </c>
      <c r="AD32" s="176">
        <v>600</v>
      </c>
      <c r="AE32" s="177" t="e">
        <f t="shared" si="0"/>
        <v>#REF!</v>
      </c>
      <c r="AF32" s="182" t="s">
        <v>687</v>
      </c>
    </row>
    <row r="33" spans="1:32">
      <c r="A33" s="182"/>
      <c r="B33" s="182"/>
      <c r="C33" s="187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87"/>
      <c r="X33" s="175"/>
      <c r="Y33" s="175"/>
      <c r="Z33" s="175"/>
      <c r="AA33" s="175"/>
      <c r="AB33" s="175"/>
      <c r="AC33" s="175"/>
      <c r="AD33" s="175"/>
      <c r="AE33" s="175"/>
      <c r="AF33" s="175"/>
    </row>
    <row r="34" spans="1:32">
      <c r="A34" s="175"/>
      <c r="B34" s="175" t="s">
        <v>688</v>
      </c>
      <c r="C34" s="187">
        <f>SUM(C3:C32)</f>
        <v>69</v>
      </c>
      <c r="D34" s="175"/>
      <c r="E34" s="175"/>
      <c r="F34" s="175" t="s">
        <v>688</v>
      </c>
      <c r="G34" s="187" t="e">
        <f>SUM(G3:G32)</f>
        <v>#REF!</v>
      </c>
      <c r="H34" s="175"/>
      <c r="I34" s="175"/>
      <c r="J34" s="175" t="s">
        <v>688</v>
      </c>
      <c r="K34" s="187">
        <f>SUM(K3:K32)</f>
        <v>102</v>
      </c>
      <c r="L34" s="175"/>
      <c r="M34" s="175"/>
      <c r="N34" s="175" t="s">
        <v>688</v>
      </c>
      <c r="O34" s="187">
        <f>SUM(O3:O32)</f>
        <v>481</v>
      </c>
      <c r="P34" s="175"/>
      <c r="Q34" s="175"/>
      <c r="R34" s="175" t="s">
        <v>688</v>
      </c>
      <c r="S34" s="187">
        <f>SUM(S3:S32)</f>
        <v>313</v>
      </c>
      <c r="T34" s="175"/>
      <c r="U34" s="175"/>
      <c r="V34" s="175" t="s">
        <v>688</v>
      </c>
      <c r="W34" s="187">
        <f>SUM(W3:W32)</f>
        <v>296</v>
      </c>
      <c r="X34" s="175"/>
      <c r="Y34" s="175"/>
      <c r="Z34" s="175" t="s">
        <v>688</v>
      </c>
      <c r="AA34" s="187">
        <f>SUM(AA3:AA32)</f>
        <v>306</v>
      </c>
      <c r="AB34" s="175"/>
      <c r="AC34" s="175"/>
      <c r="AD34" s="175" t="s">
        <v>688</v>
      </c>
      <c r="AE34" s="175" t="e">
        <f>SUM(AE3:AE32)</f>
        <v>#REF!</v>
      </c>
      <c r="AF34" s="175"/>
    </row>
    <row r="35" spans="1:32">
      <c r="A35" s="175"/>
      <c r="B35" s="175"/>
      <c r="C35" s="187"/>
      <c r="D35" s="175"/>
      <c r="E35" s="175"/>
      <c r="F35" s="175"/>
      <c r="G35" s="187"/>
      <c r="H35" s="175"/>
      <c r="I35" s="175"/>
      <c r="J35" s="175"/>
      <c r="K35" s="187"/>
      <c r="L35" s="175"/>
      <c r="M35" s="175"/>
      <c r="N35" s="175"/>
      <c r="O35" s="187"/>
      <c r="P35" s="175"/>
      <c r="Q35" s="175"/>
      <c r="R35" s="175"/>
      <c r="S35" s="187"/>
      <c r="T35" s="175"/>
      <c r="U35" s="175"/>
      <c r="V35" s="175"/>
      <c r="W35" s="187"/>
      <c r="X35" s="175"/>
      <c r="Y35" s="175"/>
      <c r="Z35" s="175"/>
      <c r="AA35" s="187"/>
      <c r="AB35" s="175"/>
      <c r="AC35" s="175"/>
      <c r="AD35" s="175"/>
      <c r="AE35" s="175"/>
      <c r="AF35" s="175"/>
    </row>
    <row r="36" spans="1:32">
      <c r="A36" s="175"/>
      <c r="B36" s="182" t="s">
        <v>689</v>
      </c>
      <c r="C36" s="187">
        <f>COUNTIF('Null-1a (Crack) 2000-500'!$P$3:$AA$10,"u")+COUNTIF('Null-1a (Crack) 500-250'!$P$3:$AA$10,"u")+COUNTIF('Null-1a (Crack) 500-250'!$P$15:$AA$22,"u")+COUNTIF('Null-1a (Crack) 250-125'!$P$3:AA$10,"u")</f>
        <v>0</v>
      </c>
      <c r="D36" s="175"/>
      <c r="E36" s="175"/>
      <c r="F36" s="182" t="s">
        <v>689</v>
      </c>
      <c r="G36" s="188" t="e">
        <f>COUNTIF(#REF!,"u")+COUNTIF('Null-1b (Bowl) 500-250'!$P$3:$AA$10,"u")+COUNTIF('Null-1b (Bowl) 500-250'!$P$15:$AA$22,"u")+COUNTIF('Null-1b (Bowl) 500-250'!$P$27:$AA$34,"u")+COUNTIF('Null-1b (Bowl) 250-125'!$P$3:$AA$10,"u")+COUNTIFS('Null-1b (Bowl) 250-125'!$P$14:$AA$21,"u")+COUNTIFS('Null-1b (Bowl) 250-125'!$P$25:$AA$32,"u")+COUNTIFS('Null-1b (Bowl) 250-125'!$P$36:$AA$43,"u")</f>
        <v>#REF!</v>
      </c>
      <c r="H36" s="175"/>
      <c r="I36" s="175"/>
      <c r="J36" s="182" t="s">
        <v>689</v>
      </c>
      <c r="K36" s="188">
        <f>COUNTIF('Null-1c (Control) 2000-250'!$P$3:$AA$10,"u")+COUNTIFS('Null-1c (Control) 250-125'!$P$3:$AA$10,"u")+COUNTIFS('Null-1c (Control) 250-125'!$P$3:$AA$10,"u")</f>
        <v>0</v>
      </c>
      <c r="L36" s="175"/>
      <c r="M36" s="175"/>
      <c r="N36" s="182" t="s">
        <v>689</v>
      </c>
      <c r="O36" s="187">
        <f>COUNTIF('Null-3 2000-500'!$P$3:$AA$10,"u")+COUNTIF('Null-3 500-250'!$P$3:$AA$10,"u")+COUNTIF('Null-3 500-250'!$P$14:$AA$21,"u")+COUNTIFS('Null-3 500-250'!$P$25:$AA$32,"u")+COUNTIF('Null-3 500-250'!$P$36:$AA$43,"u")+COUNTIF('Null-3 500-250'!$P$47:$AA$54,"u")+COUNTIF('Null-3 500-250'!$P$59:$AA$66,"u")+COUNTIF('Null-3 125-250'!$P$3:$AA$10,"u")+COUNTIF('Null-3 125-250'!$P$15:$AA$22,"u")+COUNTIFS('Null-3 125-250'!$P$27:$AA$34,"u")</f>
        <v>0</v>
      </c>
      <c r="P36" s="175"/>
      <c r="Q36" s="175"/>
      <c r="R36" s="182" t="s">
        <v>689</v>
      </c>
      <c r="S36" s="189">
        <f>COUNTIF('Null-6 2000-500'!$P$3:$AA$10,"u")+COUNTIF('Null-6 2000-500'!$P$15:$AA$22,"u")+COUNTIF('Null-6 500-250'!$P$3:$AA$10,"u")+COUNTIF('Null-6 500-250'!$P$15:$AA$22,"u")+COUNTIF('Null-6 250-125'!$P$3:$AA$10,"u")+COUNTIF('Null-6 250-125'!$P$16:$AA$23,"u")+COUNTIF('Null-6 250-125'!$P$29:$AA$36,"u")</f>
        <v>0</v>
      </c>
      <c r="T36" s="175"/>
      <c r="U36" s="175"/>
      <c r="V36" s="182" t="s">
        <v>689</v>
      </c>
      <c r="W36" s="187">
        <f>COUNTIF('Null-10'!$P$3:$AA$10,"u")+COUNTIF('Null-10'!$P$16:$AA$23,"u")+COUNTIF('Null-10'!$P$27:$AA$34,"u")+COUNTIF('Null-10'!$P$38:$AA$45,"u")+COUNTIF('Null-10'!$P$49:$AA$56,"u")+COUNTIF('Null-10'!$P$60:$AA$67,"u")+COUNTIF('Null-10'!$P$71:$AA$78,"u")+COUNTIF('Null-10'!$P$83:$AA$90,"u")+COUNTIF('Null-10'!$P$94:$AA$101,"u")</f>
        <v>0</v>
      </c>
      <c r="X36" s="175"/>
      <c r="Y36" s="175"/>
      <c r="Z36" s="182" t="s">
        <v>689</v>
      </c>
      <c r="AA36" s="188">
        <f>COUNTIF('Null-12 2000-500'!$P$3:$AA$10,"u")+COUNTIF('Null-12 500-250'!$P$15:$AA$22,"u")+COUNTIF('Null-12 500-250'!$P$27:$AA$34,"u")+COUNTIF('Null-12 500-250'!$P$3:$AA$10,"u")+COUNTIF('EXP 12 250-125 redo'!$P$3:$AA$10,"u")</f>
        <v>0</v>
      </c>
      <c r="AB36" s="175"/>
      <c r="AC36" s="175"/>
      <c r="AD36" s="175"/>
      <c r="AE36" s="175"/>
      <c r="AF36" s="175"/>
    </row>
    <row r="37" spans="1:32">
      <c r="A37" s="175"/>
      <c r="B37" s="182" t="s">
        <v>690</v>
      </c>
      <c r="C37" s="190">
        <f>(C36/(C34+C36))*100</f>
        <v>0</v>
      </c>
      <c r="D37" s="175"/>
      <c r="E37" s="175"/>
      <c r="F37" s="182" t="s">
        <v>690</v>
      </c>
      <c r="G37" s="190" t="e">
        <f>(G36/(G34+G36))*100</f>
        <v>#REF!</v>
      </c>
      <c r="H37" s="175"/>
      <c r="I37" s="175"/>
      <c r="J37" s="182" t="s">
        <v>690</v>
      </c>
      <c r="K37" s="190">
        <f>(K36/(K34+K36))*100</f>
        <v>0</v>
      </c>
      <c r="L37" s="175"/>
      <c r="M37" s="175"/>
      <c r="N37" s="182" t="s">
        <v>690</v>
      </c>
      <c r="O37" s="190">
        <f>(O36/(O34+O36))*100</f>
        <v>0</v>
      </c>
      <c r="P37" s="175"/>
      <c r="Q37" s="175"/>
      <c r="R37" s="182" t="s">
        <v>690</v>
      </c>
      <c r="S37" s="190">
        <f>(S36/(S34+S36))*100</f>
        <v>0</v>
      </c>
      <c r="T37" s="175"/>
      <c r="U37" s="175"/>
      <c r="V37" s="182" t="s">
        <v>690</v>
      </c>
      <c r="W37" s="190">
        <f>(W36/(W34+W36))*100</f>
        <v>0</v>
      </c>
      <c r="X37" s="175"/>
      <c r="Y37" s="175"/>
      <c r="Z37" s="182" t="s">
        <v>690</v>
      </c>
      <c r="AA37" s="190">
        <f>(AA36/(AA34+AA36))*100</f>
        <v>0</v>
      </c>
      <c r="AB37" s="175"/>
      <c r="AC37" s="175"/>
      <c r="AD37" s="175"/>
      <c r="AE37" s="175"/>
      <c r="AF37" s="175"/>
    </row>
    <row r="38" spans="1:32">
      <c r="A38" s="175"/>
      <c r="B38" s="175" t="s">
        <v>691</v>
      </c>
      <c r="C38" s="187" t="e">
        <f>SUM(C34,G34,K34,O34,S34,W34,AA34)</f>
        <v>#REF!</v>
      </c>
      <c r="D38" s="175"/>
      <c r="E38" s="175"/>
      <c r="F38" s="175"/>
      <c r="G38" s="187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</row>
    <row r="39" spans="1:32">
      <c r="A39" s="175"/>
      <c r="B39" s="175"/>
      <c r="C39" s="187"/>
      <c r="D39" s="175"/>
      <c r="E39" s="182" t="s">
        <v>692</v>
      </c>
      <c r="F39" s="175" t="e">
        <f>SUM(C36,G36,K36,O36,S36,W36,AA36)</f>
        <v>#REF!</v>
      </c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</row>
    <row r="40" spans="1:32">
      <c r="A40" s="175"/>
      <c r="B40" s="175"/>
      <c r="C40" s="175"/>
      <c r="D40" s="175"/>
      <c r="E40" s="182" t="s">
        <v>693</v>
      </c>
      <c r="F40" s="191" t="e">
        <f>(F39/(F39+C38))*100</f>
        <v>#REF!</v>
      </c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</row>
    <row r="41" spans="1:32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</row>
    <row r="42" spans="1:32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</row>
    <row r="43" spans="1:32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</row>
    <row r="44" spans="1:32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</row>
    <row r="45" spans="1:32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</row>
    <row r="46" spans="1:32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</row>
    <row r="47" spans="1:32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</row>
    <row r="48" spans="1:32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</row>
    <row r="49" spans="1:32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</row>
    <row r="50" spans="1:32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</row>
    <row r="51" spans="1:32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</row>
    <row r="52" spans="1:32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</row>
    <row r="53" spans="1:32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</row>
    <row r="54" spans="1:32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</row>
    <row r="55" spans="1:32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</row>
    <row r="56" spans="1:32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</row>
    <row r="57" spans="1:32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</row>
    <row r="58" spans="1:32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</row>
    <row r="59" spans="1:32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</row>
    <row r="60" spans="1:32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</row>
    <row r="61" spans="1:32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</row>
    <row r="62" spans="1:32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</row>
    <row r="63" spans="1:3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</row>
    <row r="64" spans="1:32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</row>
    <row r="65" spans="1:32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</row>
    <row r="66" spans="1:32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</row>
    <row r="67" spans="1:32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</row>
    <row r="68" spans="1:32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</row>
    <row r="69" spans="1:32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</row>
    <row r="70" spans="1:32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</row>
    <row r="71" spans="1:32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</row>
    <row r="72" spans="1:32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</row>
    <row r="73" spans="1:32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</row>
    <row r="74" spans="1:32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</row>
    <row r="75" spans="1:32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</row>
    <row r="76" spans="1:32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</row>
    <row r="77" spans="1:32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</row>
    <row r="78" spans="1:32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</row>
    <row r="79" spans="1:32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</row>
    <row r="80" spans="1:32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</row>
    <row r="81" spans="1:32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</row>
    <row r="82" spans="1:32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</row>
    <row r="83" spans="1:32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</row>
    <row r="84" spans="1:32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</row>
    <row r="85" spans="1:32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</row>
    <row r="86" spans="1:32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</row>
    <row r="87" spans="1:32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</row>
    <row r="88" spans="1:32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</row>
    <row r="89" spans="1:32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</row>
    <row r="90" spans="1:32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</row>
    <row r="91" spans="1:32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</row>
    <row r="92" spans="1:32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</row>
    <row r="93" spans="1:32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</row>
    <row r="94" spans="1:32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</row>
    <row r="95" spans="1:32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</row>
    <row r="96" spans="1:32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</row>
    <row r="97" spans="1:32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</row>
    <row r="98" spans="1:32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</row>
    <row r="99" spans="1:32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</row>
    <row r="100" spans="1:32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</row>
    <row r="101" spans="1:32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</row>
    <row r="102" spans="1:32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</row>
    <row r="103" spans="1:32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</row>
    <row r="104" spans="1:32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</row>
    <row r="105" spans="1:32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</row>
    <row r="106" spans="1:32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</row>
    <row r="107" spans="1:32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</row>
    <row r="108" spans="1:32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</row>
    <row r="109" spans="1:32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</row>
    <row r="110" spans="1:32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</row>
    <row r="111" spans="1:32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</row>
    <row r="112" spans="1:32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</row>
    <row r="113" spans="1:32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</row>
    <row r="114" spans="1:32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</row>
    <row r="115" spans="1:32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</row>
    <row r="116" spans="1:32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</row>
    <row r="117" spans="1:32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</row>
    <row r="118" spans="1:32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</row>
    <row r="119" spans="1:32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</row>
    <row r="120" spans="1:32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</row>
    <row r="121" spans="1:32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</row>
    <row r="122" spans="1:32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</row>
    <row r="123" spans="1:32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</row>
    <row r="124" spans="1:32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</row>
    <row r="125" spans="1:32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</row>
    <row r="126" spans="1:32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</row>
    <row r="127" spans="1:32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</row>
    <row r="128" spans="1:32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</row>
    <row r="129" spans="1:32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</row>
    <row r="130" spans="1:32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</row>
    <row r="131" spans="1:32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</row>
    <row r="132" spans="1:32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</row>
    <row r="133" spans="1:32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</row>
    <row r="134" spans="1:32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</row>
    <row r="135" spans="1:32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</row>
    <row r="136" spans="1:32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</row>
    <row r="137" spans="1:32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</row>
    <row r="138" spans="1:32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</row>
    <row r="139" spans="1:32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</row>
    <row r="140" spans="1:32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</row>
    <row r="141" spans="1:32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</row>
    <row r="142" spans="1:32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</row>
    <row r="143" spans="1:32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</row>
    <row r="144" spans="1:32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</row>
    <row r="145" spans="1:32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</row>
    <row r="146" spans="1:32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</row>
    <row r="147" spans="1:32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</row>
    <row r="148" spans="1:32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</row>
    <row r="149" spans="1:32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</row>
    <row r="150" spans="1:32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</row>
    <row r="151" spans="1:32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</row>
    <row r="152" spans="1:32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</row>
    <row r="153" spans="1:32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</row>
    <row r="154" spans="1:32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</row>
    <row r="155" spans="1:32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</row>
    <row r="156" spans="1:32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</row>
    <row r="157" spans="1:32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</row>
    <row r="158" spans="1:32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</row>
    <row r="159" spans="1:32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</row>
    <row r="160" spans="1:32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</row>
    <row r="161" spans="1:32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</row>
    <row r="162" spans="1:32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</row>
    <row r="163" spans="1:32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</row>
    <row r="164" spans="1:32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</row>
    <row r="165" spans="1:32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</row>
    <row r="166" spans="1:32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</row>
    <row r="167" spans="1:32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</row>
    <row r="168" spans="1:32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</row>
    <row r="169" spans="1:32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</row>
    <row r="170" spans="1:32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</row>
    <row r="171" spans="1:32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</row>
    <row r="172" spans="1:32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</row>
    <row r="173" spans="1:32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</row>
    <row r="174" spans="1:32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</row>
    <row r="175" spans="1:32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</row>
    <row r="176" spans="1:32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</row>
    <row r="177" spans="1:32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</row>
    <row r="178" spans="1:32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</row>
    <row r="179" spans="1:32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</row>
    <row r="180" spans="1:32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</row>
    <row r="181" spans="1:32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</row>
    <row r="182" spans="1:32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</row>
    <row r="183" spans="1:32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</row>
    <row r="184" spans="1:32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</row>
    <row r="185" spans="1:32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</row>
    <row r="186" spans="1:32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</row>
    <row r="187" spans="1:32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</row>
    <row r="188" spans="1:32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</row>
    <row r="189" spans="1:32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</row>
    <row r="190" spans="1:32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</row>
    <row r="191" spans="1:32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</row>
    <row r="192" spans="1:32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</row>
    <row r="193" spans="1:32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</row>
    <row r="194" spans="1:32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</row>
    <row r="195" spans="1:32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</row>
    <row r="196" spans="1:32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</row>
    <row r="197" spans="1:32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</row>
    <row r="198" spans="1:32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</row>
    <row r="199" spans="1:32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</row>
    <row r="200" spans="1:32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</row>
    <row r="201" spans="1:32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</row>
    <row r="202" spans="1:32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</row>
    <row r="203" spans="1:32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</row>
    <row r="204" spans="1:32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</row>
    <row r="205" spans="1:32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</row>
    <row r="206" spans="1:32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</row>
    <row r="207" spans="1:32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</row>
    <row r="208" spans="1:32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</row>
    <row r="209" spans="1:32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</row>
    <row r="210" spans="1:32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</row>
    <row r="211" spans="1:32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</row>
    <row r="212" spans="1:32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</row>
    <row r="213" spans="1:32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</row>
    <row r="214" spans="1:32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</row>
    <row r="215" spans="1:32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</row>
    <row r="216" spans="1:32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</row>
    <row r="217" spans="1:32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</row>
    <row r="218" spans="1:32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</row>
    <row r="219" spans="1:32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</row>
    <row r="220" spans="1:32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</row>
    <row r="221" spans="1:32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</row>
    <row r="222" spans="1:32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</row>
    <row r="223" spans="1:32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</row>
    <row r="224" spans="1:32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</row>
    <row r="225" spans="1:32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</row>
    <row r="226" spans="1:32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</row>
    <row r="227" spans="1:32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</row>
    <row r="228" spans="1:32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</row>
    <row r="229" spans="1:32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</row>
    <row r="230" spans="1:32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</row>
    <row r="231" spans="1:32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</row>
    <row r="232" spans="1:32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</row>
    <row r="233" spans="1:32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</row>
    <row r="234" spans="1:32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</row>
    <row r="235" spans="1:32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</row>
    <row r="236" spans="1:32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</row>
    <row r="237" spans="1:32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</row>
    <row r="238" spans="1:32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</row>
    <row r="239" spans="1:32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</row>
    <row r="240" spans="1:32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</row>
    <row r="241" spans="1:32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</row>
    <row r="242" spans="1:32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</row>
    <row r="243" spans="1:32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</row>
    <row r="244" spans="1:32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</row>
    <row r="245" spans="1:32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</row>
    <row r="246" spans="1:32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</row>
    <row r="247" spans="1:32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</row>
    <row r="248" spans="1:32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</row>
    <row r="249" spans="1:32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</row>
    <row r="250" spans="1:32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</row>
    <row r="251" spans="1:32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</row>
    <row r="252" spans="1:32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</row>
    <row r="253" spans="1:32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</row>
    <row r="254" spans="1:32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</row>
    <row r="255" spans="1:32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</row>
    <row r="256" spans="1:32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</row>
    <row r="257" spans="1:32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</row>
    <row r="258" spans="1:32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</row>
    <row r="259" spans="1:32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</row>
    <row r="260" spans="1:32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</row>
    <row r="261" spans="1:32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</row>
    <row r="262" spans="1:32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</row>
    <row r="263" spans="1:32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</row>
    <row r="264" spans="1:32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</row>
    <row r="265" spans="1:32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</row>
    <row r="266" spans="1:32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</row>
    <row r="267" spans="1:32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</row>
    <row r="268" spans="1:32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</row>
    <row r="269" spans="1:32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</row>
    <row r="270" spans="1:32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</row>
    <row r="271" spans="1:32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</row>
    <row r="272" spans="1:32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</row>
    <row r="273" spans="1:32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</row>
    <row r="274" spans="1:32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</row>
    <row r="275" spans="1:32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</row>
    <row r="276" spans="1:32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</row>
    <row r="277" spans="1:32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</row>
    <row r="278" spans="1:32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</row>
    <row r="279" spans="1:32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</row>
    <row r="280" spans="1:32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</row>
    <row r="281" spans="1:32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</row>
    <row r="282" spans="1:32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</row>
    <row r="283" spans="1:32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</row>
    <row r="284" spans="1:32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</row>
    <row r="285" spans="1:32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</row>
    <row r="286" spans="1:32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</row>
    <row r="287" spans="1:32">
      <c r="A287" s="175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</row>
    <row r="288" spans="1:32">
      <c r="A288" s="175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</row>
    <row r="289" spans="1:32">
      <c r="A289" s="175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</row>
    <row r="290" spans="1:32">
      <c r="A290" s="175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</row>
    <row r="291" spans="1:32">
      <c r="A291" s="175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</row>
    <row r="292" spans="1:32">
      <c r="A292" s="175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</row>
    <row r="293" spans="1:32">
      <c r="A293" s="175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</row>
    <row r="294" spans="1:32">
      <c r="A294" s="175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</row>
    <row r="295" spans="1:32">
      <c r="A295" s="175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</row>
    <row r="296" spans="1:32">
      <c r="A296" s="175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</row>
    <row r="297" spans="1:32">
      <c r="A297" s="175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</row>
    <row r="298" spans="1:32">
      <c r="A298" s="175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</row>
    <row r="299" spans="1:32">
      <c r="A299" s="175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</row>
    <row r="300" spans="1:32">
      <c r="A300" s="175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</row>
    <row r="301" spans="1:32">
      <c r="A301" s="175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</row>
    <row r="302" spans="1:32">
      <c r="A302" s="175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</row>
    <row r="303" spans="1:32">
      <c r="A303" s="175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</row>
    <row r="304" spans="1:32">
      <c r="A304" s="175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</row>
    <row r="305" spans="1:32">
      <c r="A305" s="175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</row>
    <row r="306" spans="1:32">
      <c r="A306" s="175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</row>
    <row r="307" spans="1:32">
      <c r="A307" s="175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</row>
    <row r="308" spans="1:32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</row>
    <row r="309" spans="1:32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</row>
    <row r="310" spans="1:32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</row>
    <row r="311" spans="1:32">
      <c r="A311" s="175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</row>
    <row r="312" spans="1:32">
      <c r="A312" s="175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</row>
    <row r="313" spans="1:32">
      <c r="A313" s="175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</row>
    <row r="314" spans="1:32">
      <c r="A314" s="175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</row>
    <row r="315" spans="1:32">
      <c r="A315" s="175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</row>
    <row r="316" spans="1:32">
      <c r="A316" s="175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</row>
    <row r="317" spans="1:32">
      <c r="A317" s="175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</row>
    <row r="318" spans="1:32">
      <c r="A318" s="175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</row>
    <row r="319" spans="1:32">
      <c r="A319" s="175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</row>
    <row r="320" spans="1:32">
      <c r="A320" s="175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</row>
    <row r="321" spans="1:32">
      <c r="A321" s="175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</row>
    <row r="322" spans="1:32">
      <c r="A322" s="175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</row>
    <row r="323" spans="1:32">
      <c r="A323" s="175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</row>
    <row r="324" spans="1:32">
      <c r="A324" s="175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</row>
    <row r="325" spans="1:32">
      <c r="A325" s="175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</row>
    <row r="326" spans="1:32">
      <c r="A326" s="175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</row>
    <row r="327" spans="1:32">
      <c r="A327" s="175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</row>
    <row r="328" spans="1:32">
      <c r="A328" s="175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</row>
    <row r="329" spans="1:32">
      <c r="A329" s="175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</row>
    <row r="330" spans="1:32">
      <c r="A330" s="175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</row>
    <row r="331" spans="1:32">
      <c r="A331" s="175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</row>
    <row r="332" spans="1:32">
      <c r="A332" s="175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</row>
    <row r="333" spans="1:32">
      <c r="A333" s="175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</row>
    <row r="334" spans="1:32">
      <c r="A334" s="175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</row>
    <row r="335" spans="1:32">
      <c r="A335" s="175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</row>
    <row r="336" spans="1:32">
      <c r="A336" s="175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</row>
    <row r="337" spans="1:32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</row>
    <row r="338" spans="1:32">
      <c r="A338" s="175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</row>
    <row r="339" spans="1:32">
      <c r="A339" s="175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</row>
    <row r="340" spans="1:32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</row>
    <row r="341" spans="1:32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</row>
    <row r="342" spans="1:32">
      <c r="A342" s="175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</row>
    <row r="343" spans="1:32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</row>
    <row r="344" spans="1:32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</row>
    <row r="345" spans="1:32">
      <c r="A345" s="175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</row>
    <row r="346" spans="1:32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</row>
    <row r="347" spans="1:32">
      <c r="A347" s="175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</row>
    <row r="348" spans="1:32">
      <c r="A348" s="175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</row>
    <row r="349" spans="1:32">
      <c r="A349" s="175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</row>
    <row r="350" spans="1:32">
      <c r="A350" s="175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</row>
    <row r="351" spans="1:32">
      <c r="A351" s="175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</row>
    <row r="352" spans="1:32">
      <c r="A352" s="175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</row>
    <row r="353" spans="1:32">
      <c r="A353" s="175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</row>
    <row r="354" spans="1:32">
      <c r="A354" s="175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</row>
    <row r="355" spans="1:32">
      <c r="A355" s="175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</row>
    <row r="356" spans="1:32">
      <c r="A356" s="175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</row>
    <row r="357" spans="1:32">
      <c r="A357" s="175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</row>
    <row r="358" spans="1:32">
      <c r="A358" s="175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</row>
    <row r="359" spans="1:32">
      <c r="A359" s="175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</row>
    <row r="360" spans="1:32">
      <c r="A360" s="175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</row>
    <row r="361" spans="1:32">
      <c r="A361" s="175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</row>
    <row r="362" spans="1:32">
      <c r="A362" s="175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</row>
    <row r="363" spans="1:32">
      <c r="A363" s="175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</row>
    <row r="364" spans="1:32">
      <c r="A364" s="175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</row>
    <row r="365" spans="1:32">
      <c r="A365" s="175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</row>
    <row r="366" spans="1:32">
      <c r="A366" s="175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</row>
    <row r="367" spans="1:32">
      <c r="A367" s="175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</row>
    <row r="368" spans="1:32">
      <c r="A368" s="175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</row>
    <row r="369" spans="1:32">
      <c r="A369" s="175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</row>
    <row r="370" spans="1:32">
      <c r="A370" s="175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</row>
    <row r="371" spans="1:32">
      <c r="A371" s="175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</row>
    <row r="372" spans="1:32">
      <c r="A372" s="175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</row>
    <row r="373" spans="1:32">
      <c r="A373" s="175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</row>
    <row r="374" spans="1:32">
      <c r="A374" s="175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</row>
    <row r="375" spans="1:32">
      <c r="A375" s="175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</row>
    <row r="376" spans="1:32">
      <c r="A376" s="175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</row>
    <row r="377" spans="1:32">
      <c r="A377" s="175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</row>
    <row r="378" spans="1:32">
      <c r="A378" s="175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</row>
    <row r="379" spans="1:32">
      <c r="A379" s="175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</row>
    <row r="380" spans="1:32">
      <c r="A380" s="175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</row>
    <row r="381" spans="1:32">
      <c r="A381" s="175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</row>
    <row r="382" spans="1:32">
      <c r="A382" s="175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</row>
    <row r="383" spans="1:32">
      <c r="A383" s="175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</row>
    <row r="384" spans="1:32">
      <c r="A384" s="175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</row>
    <row r="385" spans="1:32">
      <c r="A385" s="175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</row>
    <row r="386" spans="1:32">
      <c r="A386" s="175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</row>
    <row r="387" spans="1:32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</row>
    <row r="388" spans="1:32">
      <c r="A388" s="175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</row>
    <row r="389" spans="1:32">
      <c r="A389" s="175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</row>
    <row r="390" spans="1:32">
      <c r="A390" s="175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</row>
    <row r="391" spans="1:32">
      <c r="A391" s="175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</row>
    <row r="392" spans="1:32">
      <c r="A392" s="175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</row>
    <row r="393" spans="1:32">
      <c r="A393" s="175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</row>
    <row r="394" spans="1:32">
      <c r="A394" s="175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</row>
    <row r="395" spans="1:32">
      <c r="A395" s="175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</row>
    <row r="396" spans="1:32">
      <c r="A396" s="175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</row>
    <row r="397" spans="1:32">
      <c r="A397" s="175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</row>
    <row r="398" spans="1:32">
      <c r="A398" s="175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</row>
    <row r="399" spans="1:32">
      <c r="A399" s="175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</row>
    <row r="400" spans="1:32">
      <c r="A400" s="175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</row>
    <row r="401" spans="1:32">
      <c r="A401" s="175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</row>
    <row r="402" spans="1:32">
      <c r="A402" s="175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</row>
    <row r="403" spans="1:32">
      <c r="A403" s="175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</row>
    <row r="404" spans="1:32">
      <c r="A404" s="175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</row>
    <row r="405" spans="1:32">
      <c r="A405" s="175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</row>
    <row r="406" spans="1:32">
      <c r="A406" s="175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</row>
    <row r="407" spans="1:32">
      <c r="A407" s="175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</row>
    <row r="408" spans="1:32">
      <c r="A408" s="175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</row>
    <row r="409" spans="1:32">
      <c r="A409" s="175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</row>
    <row r="410" spans="1:32">
      <c r="A410" s="175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</row>
    <row r="411" spans="1:32">
      <c r="A411" s="175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</row>
    <row r="412" spans="1:32">
      <c r="A412" s="175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</row>
    <row r="413" spans="1:32">
      <c r="A413" s="175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</row>
    <row r="414" spans="1:32">
      <c r="A414" s="175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</row>
    <row r="415" spans="1:32">
      <c r="A415" s="175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</row>
    <row r="416" spans="1:32">
      <c r="A416" s="175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</row>
    <row r="417" spans="1:32">
      <c r="A417" s="175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</row>
    <row r="418" spans="1:32">
      <c r="A418" s="175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</row>
    <row r="419" spans="1:32">
      <c r="A419" s="175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</row>
    <row r="420" spans="1:32">
      <c r="A420" s="175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</row>
    <row r="421" spans="1:32">
      <c r="A421" s="175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</row>
    <row r="422" spans="1:32">
      <c r="A422" s="175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</row>
    <row r="423" spans="1:32">
      <c r="A423" s="175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</row>
    <row r="424" spans="1:32">
      <c r="A424" s="175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</row>
    <row r="425" spans="1:32">
      <c r="A425" s="175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</row>
    <row r="426" spans="1:32">
      <c r="A426" s="175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</row>
    <row r="427" spans="1:32">
      <c r="A427" s="175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</row>
    <row r="428" spans="1:32">
      <c r="A428" s="175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</row>
    <row r="429" spans="1:32">
      <c r="A429" s="175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</row>
    <row r="430" spans="1:32">
      <c r="A430" s="175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</row>
    <row r="431" spans="1:32">
      <c r="A431" s="175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</row>
    <row r="432" spans="1:32">
      <c r="A432" s="175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</row>
    <row r="433" spans="1:32">
      <c r="A433" s="175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</row>
    <row r="434" spans="1:32">
      <c r="A434" s="175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</row>
    <row r="435" spans="1:32">
      <c r="A435" s="175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</row>
    <row r="436" spans="1:32">
      <c r="A436" s="175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</row>
    <row r="437" spans="1:32">
      <c r="A437" s="175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</row>
    <row r="438" spans="1:32">
      <c r="A438" s="175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</row>
    <row r="439" spans="1:32">
      <c r="A439" s="175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</row>
    <row r="440" spans="1:32">
      <c r="A440" s="175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</row>
    <row r="441" spans="1:32">
      <c r="A441" s="175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</row>
    <row r="442" spans="1:32">
      <c r="A442" s="175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</row>
    <row r="443" spans="1:32">
      <c r="A443" s="175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</row>
    <row r="444" spans="1:32">
      <c r="A444" s="175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</row>
    <row r="445" spans="1:32">
      <c r="A445" s="175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</row>
    <row r="446" spans="1:32">
      <c r="A446" s="175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</row>
    <row r="447" spans="1:32">
      <c r="A447" s="175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</row>
    <row r="448" spans="1:32">
      <c r="A448" s="175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</row>
    <row r="449" spans="1:32">
      <c r="A449" s="175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</row>
    <row r="450" spans="1:32">
      <c r="A450" s="175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</row>
    <row r="451" spans="1:32">
      <c r="A451" s="175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</row>
    <row r="452" spans="1:32">
      <c r="A452" s="175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</row>
    <row r="453" spans="1:32">
      <c r="A453" s="175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</row>
    <row r="454" spans="1:32">
      <c r="A454" s="175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</row>
    <row r="455" spans="1:32">
      <c r="A455" s="175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</row>
    <row r="456" spans="1:32">
      <c r="A456" s="175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</row>
    <row r="457" spans="1:32">
      <c r="A457" s="175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</row>
    <row r="458" spans="1:32">
      <c r="A458" s="175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</row>
    <row r="459" spans="1:32">
      <c r="A459" s="175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</row>
    <row r="460" spans="1:32">
      <c r="A460" s="175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</row>
    <row r="461" spans="1:32">
      <c r="A461" s="175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</row>
    <row r="462" spans="1:32">
      <c r="A462" s="175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</row>
    <row r="463" spans="1:32">
      <c r="A463" s="175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</row>
    <row r="464" spans="1:32">
      <c r="A464" s="175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</row>
    <row r="465" spans="1:32">
      <c r="A465" s="175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</row>
    <row r="466" spans="1:32">
      <c r="A466" s="175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</row>
    <row r="467" spans="1:32">
      <c r="A467" s="175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</row>
    <row r="468" spans="1:32">
      <c r="A468" s="175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</row>
    <row r="469" spans="1:32">
      <c r="A469" s="175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</row>
    <row r="470" spans="1:32">
      <c r="A470" s="175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</row>
    <row r="471" spans="1:32">
      <c r="A471" s="175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</row>
    <row r="472" spans="1:32">
      <c r="A472" s="175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</row>
    <row r="473" spans="1:32">
      <c r="A473" s="175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</row>
    <row r="474" spans="1:32">
      <c r="A474" s="175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</row>
    <row r="475" spans="1:32">
      <c r="A475" s="175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</row>
    <row r="476" spans="1:32">
      <c r="A476" s="175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</row>
    <row r="477" spans="1:32">
      <c r="A477" s="175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</row>
    <row r="478" spans="1:32">
      <c r="A478" s="175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</row>
    <row r="479" spans="1:32">
      <c r="A479" s="175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</row>
    <row r="480" spans="1:32">
      <c r="A480" s="175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</row>
    <row r="481" spans="1:32">
      <c r="A481" s="175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</row>
    <row r="482" spans="1:32">
      <c r="A482" s="175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</row>
    <row r="483" spans="1:32">
      <c r="A483" s="175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</row>
    <row r="484" spans="1:32">
      <c r="A484" s="175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</row>
    <row r="485" spans="1:32">
      <c r="A485" s="175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</row>
    <row r="486" spans="1:32">
      <c r="A486" s="175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</row>
    <row r="487" spans="1:32">
      <c r="A487" s="175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</row>
    <row r="488" spans="1:32">
      <c r="A488" s="175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</row>
    <row r="489" spans="1:32">
      <c r="A489" s="175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</row>
    <row r="490" spans="1:32">
      <c r="A490" s="175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</row>
    <row r="491" spans="1:32">
      <c r="A491" s="175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</row>
    <row r="492" spans="1:32">
      <c r="A492" s="175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</row>
    <row r="493" spans="1:32">
      <c r="A493" s="175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</row>
    <row r="494" spans="1:32">
      <c r="A494" s="175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</row>
    <row r="495" spans="1:32">
      <c r="A495" s="175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</row>
    <row r="496" spans="1:32">
      <c r="A496" s="175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</row>
    <row r="497" spans="1:32">
      <c r="A497" s="175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</row>
    <row r="498" spans="1:32">
      <c r="A498" s="175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</row>
    <row r="499" spans="1:32">
      <c r="A499" s="175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</row>
    <row r="500" spans="1:32">
      <c r="A500" s="175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</row>
    <row r="501" spans="1:32">
      <c r="A501" s="175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</row>
    <row r="502" spans="1:32">
      <c r="A502" s="175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</row>
    <row r="503" spans="1:32">
      <c r="A503" s="175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</row>
    <row r="504" spans="1:32">
      <c r="A504" s="175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</row>
    <row r="505" spans="1:32">
      <c r="A505" s="175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</row>
    <row r="506" spans="1:32">
      <c r="A506" s="175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</row>
    <row r="507" spans="1:32">
      <c r="A507" s="175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</row>
    <row r="508" spans="1:32">
      <c r="A508" s="175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</row>
    <row r="509" spans="1:32">
      <c r="A509" s="175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</row>
    <row r="510" spans="1:32">
      <c r="A510" s="175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</row>
    <row r="511" spans="1:32">
      <c r="A511" s="175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</row>
    <row r="512" spans="1:32">
      <c r="A512" s="175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</row>
    <row r="513" spans="1:32">
      <c r="A513" s="175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</row>
    <row r="514" spans="1:32">
      <c r="A514" s="175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</row>
    <row r="515" spans="1:32">
      <c r="A515" s="175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</row>
    <row r="516" spans="1:32">
      <c r="A516" s="175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</row>
    <row r="517" spans="1:32">
      <c r="A517" s="175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</row>
    <row r="518" spans="1:32">
      <c r="A518" s="175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</row>
    <row r="519" spans="1:32">
      <c r="A519" s="175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</row>
    <row r="520" spans="1:32">
      <c r="A520" s="175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</row>
    <row r="521" spans="1:32">
      <c r="A521" s="175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</row>
    <row r="522" spans="1:32">
      <c r="A522" s="175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</row>
    <row r="523" spans="1:32">
      <c r="A523" s="175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</row>
    <row r="524" spans="1:32">
      <c r="A524" s="175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</row>
    <row r="525" spans="1:32">
      <c r="A525" s="175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</row>
    <row r="526" spans="1:32">
      <c r="A526" s="175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</row>
    <row r="527" spans="1:32">
      <c r="A527" s="175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</row>
    <row r="528" spans="1:32">
      <c r="A528" s="175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</row>
    <row r="529" spans="1:32">
      <c r="A529" s="175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</row>
    <row r="530" spans="1:32">
      <c r="A530" s="175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</row>
    <row r="531" spans="1:32">
      <c r="A531" s="175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</row>
    <row r="532" spans="1:32">
      <c r="A532" s="175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</row>
    <row r="533" spans="1:32">
      <c r="A533" s="175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</row>
    <row r="534" spans="1:32">
      <c r="A534" s="175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</row>
    <row r="535" spans="1:32">
      <c r="A535" s="175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</row>
    <row r="536" spans="1:32">
      <c r="A536" s="175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</row>
    <row r="537" spans="1:32">
      <c r="A537" s="175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</row>
    <row r="538" spans="1:32">
      <c r="A538" s="175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</row>
    <row r="539" spans="1:32">
      <c r="A539" s="175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</row>
    <row r="540" spans="1:32">
      <c r="A540" s="175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</row>
    <row r="541" spans="1:32">
      <c r="A541" s="175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</row>
    <row r="542" spans="1:32">
      <c r="A542" s="175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</row>
    <row r="543" spans="1:32">
      <c r="A543" s="175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</row>
    <row r="544" spans="1:32">
      <c r="A544" s="175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</row>
    <row r="545" spans="1:32">
      <c r="A545" s="175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</row>
    <row r="546" spans="1:32">
      <c r="A546" s="175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</row>
    <row r="547" spans="1:32">
      <c r="A547" s="175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</row>
    <row r="548" spans="1:32">
      <c r="A548" s="175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</row>
    <row r="549" spans="1:32">
      <c r="A549" s="175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</row>
    <row r="550" spans="1:32">
      <c r="A550" s="175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</row>
    <row r="551" spans="1:32">
      <c r="A551" s="175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</row>
    <row r="552" spans="1:32">
      <c r="A552" s="175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</row>
    <row r="553" spans="1:32">
      <c r="A553" s="175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</row>
    <row r="554" spans="1:32">
      <c r="A554" s="175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</row>
    <row r="555" spans="1:32">
      <c r="A555" s="175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</row>
    <row r="556" spans="1:32">
      <c r="A556" s="175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</row>
    <row r="557" spans="1:32">
      <c r="A557" s="175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</row>
    <row r="558" spans="1:32">
      <c r="A558" s="175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</row>
    <row r="559" spans="1:32">
      <c r="A559" s="175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</row>
    <row r="560" spans="1:32">
      <c r="A560" s="175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</row>
    <row r="561" spans="1:32">
      <c r="A561" s="175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</row>
    <row r="562" spans="1:32">
      <c r="A562" s="175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</row>
    <row r="563" spans="1:32">
      <c r="A563" s="175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</row>
    <row r="564" spans="1:32">
      <c r="A564" s="175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</row>
    <row r="565" spans="1:32">
      <c r="A565" s="175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</row>
    <row r="566" spans="1:32">
      <c r="A566" s="175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</row>
    <row r="567" spans="1:32">
      <c r="A567" s="175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</row>
    <row r="568" spans="1:32">
      <c r="A568" s="175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</row>
    <row r="569" spans="1:32">
      <c r="A569" s="175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</row>
    <row r="570" spans="1:32">
      <c r="A570" s="175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</row>
    <row r="571" spans="1:32">
      <c r="A571" s="175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</row>
    <row r="572" spans="1:32">
      <c r="A572" s="175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</row>
    <row r="573" spans="1:32">
      <c r="A573" s="175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</row>
    <row r="574" spans="1:32">
      <c r="A574" s="175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</row>
    <row r="575" spans="1:32">
      <c r="A575" s="175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</row>
    <row r="576" spans="1:32">
      <c r="A576" s="175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</row>
    <row r="577" spans="1:32">
      <c r="A577" s="175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</row>
    <row r="578" spans="1:32">
      <c r="A578" s="175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</row>
    <row r="579" spans="1:32">
      <c r="A579" s="175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</row>
    <row r="580" spans="1:32">
      <c r="A580" s="175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</row>
    <row r="581" spans="1:32">
      <c r="A581" s="175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</row>
    <row r="582" spans="1:32">
      <c r="A582" s="175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</row>
    <row r="583" spans="1:32">
      <c r="A583" s="175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</row>
    <row r="584" spans="1:32">
      <c r="A584" s="175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</row>
    <row r="585" spans="1:32">
      <c r="A585" s="175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</row>
    <row r="586" spans="1:32">
      <c r="A586" s="175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</row>
    <row r="587" spans="1:32">
      <c r="A587" s="175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</row>
    <row r="588" spans="1:32">
      <c r="A588" s="175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</row>
    <row r="589" spans="1:32">
      <c r="A589" s="175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</row>
    <row r="590" spans="1:32">
      <c r="A590" s="175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</row>
    <row r="591" spans="1:32">
      <c r="A591" s="175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</row>
    <row r="592" spans="1:32">
      <c r="A592" s="175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</row>
    <row r="593" spans="1:32">
      <c r="A593" s="175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</row>
    <row r="594" spans="1:32">
      <c r="A594" s="175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</row>
    <row r="595" spans="1:32">
      <c r="A595" s="175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</row>
    <row r="596" spans="1:32">
      <c r="A596" s="175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</row>
    <row r="597" spans="1:32">
      <c r="A597" s="175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</row>
    <row r="598" spans="1:32">
      <c r="A598" s="175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</row>
    <row r="599" spans="1:32">
      <c r="A599" s="175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</row>
    <row r="600" spans="1:32">
      <c r="A600" s="175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</row>
    <row r="601" spans="1:32">
      <c r="A601" s="175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</row>
    <row r="602" spans="1:32">
      <c r="A602" s="175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</row>
    <row r="603" spans="1:32">
      <c r="A603" s="175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</row>
    <row r="604" spans="1:32">
      <c r="A604" s="175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</row>
    <row r="605" spans="1:32">
      <c r="A605" s="175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</row>
    <row r="606" spans="1:32">
      <c r="A606" s="175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</row>
    <row r="607" spans="1:32">
      <c r="A607" s="175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</row>
    <row r="608" spans="1:32">
      <c r="A608" s="175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</row>
    <row r="609" spans="1:32">
      <c r="A609" s="175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</row>
    <row r="610" spans="1:32">
      <c r="A610" s="175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</row>
    <row r="611" spans="1:32">
      <c r="A611" s="175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</row>
    <row r="612" spans="1:32">
      <c r="A612" s="175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</row>
    <row r="613" spans="1:32">
      <c r="A613" s="175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</row>
    <row r="614" spans="1:32">
      <c r="A614" s="175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</row>
    <row r="615" spans="1:32">
      <c r="A615" s="175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</row>
    <row r="616" spans="1:32">
      <c r="A616" s="175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</row>
    <row r="617" spans="1:32">
      <c r="A617" s="175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</row>
    <row r="618" spans="1:32">
      <c r="A618" s="175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</row>
    <row r="619" spans="1:32">
      <c r="A619" s="175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</row>
    <row r="620" spans="1:32">
      <c r="A620" s="175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</row>
    <row r="621" spans="1:32">
      <c r="A621" s="175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</row>
    <row r="622" spans="1:32">
      <c r="A622" s="175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</row>
    <row r="623" spans="1:32">
      <c r="A623" s="175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</row>
    <row r="624" spans="1:32">
      <c r="A624" s="175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</row>
    <row r="625" spans="1:32">
      <c r="A625" s="175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</row>
    <row r="626" spans="1:32">
      <c r="A626" s="175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</row>
    <row r="627" spans="1:32">
      <c r="A627" s="175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</row>
    <row r="628" spans="1:32">
      <c r="A628" s="175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</row>
    <row r="629" spans="1:32">
      <c r="A629" s="175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</row>
    <row r="630" spans="1:32">
      <c r="A630" s="175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</row>
    <row r="631" spans="1:32">
      <c r="A631" s="175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</row>
    <row r="632" spans="1:32">
      <c r="A632" s="175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</row>
    <row r="633" spans="1:32">
      <c r="A633" s="175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</row>
    <row r="634" spans="1:32">
      <c r="A634" s="175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</row>
    <row r="635" spans="1:32">
      <c r="A635" s="175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</row>
    <row r="636" spans="1:32">
      <c r="A636" s="175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</row>
    <row r="637" spans="1:32">
      <c r="A637" s="175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</row>
    <row r="638" spans="1:32">
      <c r="A638" s="175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</row>
    <row r="639" spans="1:32">
      <c r="A639" s="175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</row>
    <row r="640" spans="1:32">
      <c r="A640" s="175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</row>
    <row r="641" spans="1:32">
      <c r="A641" s="175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</row>
    <row r="642" spans="1:32">
      <c r="A642" s="175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</row>
    <row r="643" spans="1:32">
      <c r="A643" s="175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</row>
    <row r="644" spans="1:32">
      <c r="A644" s="175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</row>
    <row r="645" spans="1:32">
      <c r="A645" s="175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</row>
    <row r="646" spans="1:32">
      <c r="A646" s="175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</row>
    <row r="647" spans="1:32">
      <c r="A647" s="175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</row>
    <row r="648" spans="1:32">
      <c r="A648" s="175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</row>
    <row r="649" spans="1:32">
      <c r="A649" s="175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</row>
    <row r="650" spans="1:32">
      <c r="A650" s="175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</row>
    <row r="651" spans="1:32">
      <c r="A651" s="175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</row>
    <row r="652" spans="1:32">
      <c r="A652" s="175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</row>
    <row r="653" spans="1:32">
      <c r="A653" s="175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</row>
    <row r="654" spans="1:32">
      <c r="A654" s="175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</row>
    <row r="655" spans="1:32">
      <c r="A655" s="175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</row>
    <row r="656" spans="1:32">
      <c r="A656" s="175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</row>
    <row r="657" spans="1:32">
      <c r="A657" s="175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</row>
    <row r="658" spans="1:32">
      <c r="A658" s="175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</row>
    <row r="659" spans="1:32">
      <c r="A659" s="175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</row>
    <row r="660" spans="1:32">
      <c r="A660" s="175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</row>
    <row r="661" spans="1:32">
      <c r="A661" s="175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</row>
    <row r="662" spans="1:32">
      <c r="A662" s="175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</row>
    <row r="663" spans="1:32">
      <c r="A663" s="175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</row>
    <row r="664" spans="1:32">
      <c r="A664" s="175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</row>
    <row r="665" spans="1:32">
      <c r="A665" s="175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</row>
    <row r="666" spans="1:32">
      <c r="A666" s="175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</row>
    <row r="667" spans="1:32">
      <c r="A667" s="175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</row>
    <row r="668" spans="1:32">
      <c r="A668" s="175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</row>
    <row r="669" spans="1:32">
      <c r="A669" s="175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</row>
    <row r="670" spans="1:32">
      <c r="A670" s="175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</row>
    <row r="671" spans="1:32">
      <c r="A671" s="175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</row>
    <row r="672" spans="1:32">
      <c r="A672" s="175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</row>
    <row r="673" spans="1:32">
      <c r="A673" s="175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</row>
    <row r="674" spans="1:32">
      <c r="A674" s="175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</row>
    <row r="675" spans="1:32">
      <c r="A675" s="175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</row>
    <row r="676" spans="1:32">
      <c r="A676" s="175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</row>
    <row r="677" spans="1:32">
      <c r="A677" s="175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</row>
    <row r="678" spans="1:32">
      <c r="A678" s="175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</row>
    <row r="679" spans="1:32">
      <c r="A679" s="175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</row>
    <row r="680" spans="1:32">
      <c r="A680" s="175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</row>
    <row r="681" spans="1:32">
      <c r="A681" s="175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</row>
    <row r="682" spans="1:32">
      <c r="A682" s="175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</row>
    <row r="683" spans="1:32">
      <c r="A683" s="175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</row>
    <row r="684" spans="1:32">
      <c r="A684" s="175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</row>
    <row r="685" spans="1:32">
      <c r="A685" s="175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</row>
    <row r="686" spans="1:32">
      <c r="A686" s="175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</row>
    <row r="687" spans="1:32">
      <c r="A687" s="175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</row>
    <row r="688" spans="1:32">
      <c r="A688" s="175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</row>
    <row r="689" spans="1:32">
      <c r="A689" s="175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</row>
    <row r="690" spans="1:32">
      <c r="A690" s="175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</row>
    <row r="691" spans="1:32">
      <c r="A691" s="175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</row>
    <row r="692" spans="1:32">
      <c r="A692" s="175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</row>
    <row r="693" spans="1:32">
      <c r="A693" s="175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</row>
    <row r="694" spans="1:32">
      <c r="A694" s="175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</row>
    <row r="695" spans="1:32">
      <c r="A695" s="175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</row>
    <row r="696" spans="1:32">
      <c r="A696" s="175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</row>
    <row r="697" spans="1:32">
      <c r="A697" s="175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</row>
    <row r="698" spans="1:32">
      <c r="A698" s="175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</row>
    <row r="699" spans="1:32">
      <c r="A699" s="175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</row>
    <row r="700" spans="1:32">
      <c r="A700" s="175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</row>
    <row r="701" spans="1:32">
      <c r="A701" s="175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</row>
    <row r="702" spans="1:32">
      <c r="A702" s="175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</row>
    <row r="703" spans="1:32">
      <c r="A703" s="175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</row>
    <row r="704" spans="1:32">
      <c r="A704" s="175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</row>
    <row r="705" spans="1:32">
      <c r="A705" s="175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</row>
    <row r="706" spans="1:32">
      <c r="A706" s="175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</row>
    <row r="707" spans="1:32">
      <c r="A707" s="175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</row>
    <row r="708" spans="1:32">
      <c r="A708" s="175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</row>
    <row r="709" spans="1:32">
      <c r="A709" s="175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</row>
    <row r="710" spans="1:32">
      <c r="A710" s="175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</row>
    <row r="711" spans="1:32">
      <c r="A711" s="175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</row>
    <row r="712" spans="1:32">
      <c r="A712" s="175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</row>
    <row r="713" spans="1:32">
      <c r="A713" s="175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</row>
    <row r="714" spans="1:32">
      <c r="A714" s="175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</row>
    <row r="715" spans="1:32">
      <c r="A715" s="175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</row>
    <row r="716" spans="1:32">
      <c r="A716" s="175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</row>
    <row r="717" spans="1:32">
      <c r="A717" s="175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</row>
    <row r="718" spans="1:32">
      <c r="A718" s="175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</row>
    <row r="719" spans="1:32">
      <c r="A719" s="175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</row>
    <row r="720" spans="1:32">
      <c r="A720" s="175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</row>
    <row r="721" spans="1:32">
      <c r="A721" s="175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</row>
    <row r="722" spans="1:32">
      <c r="A722" s="175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</row>
    <row r="723" spans="1:32">
      <c r="A723" s="175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</row>
    <row r="724" spans="1:32">
      <c r="A724" s="175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</row>
    <row r="725" spans="1:32">
      <c r="A725" s="175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</row>
    <row r="726" spans="1:32">
      <c r="A726" s="175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</row>
    <row r="727" spans="1:32">
      <c r="A727" s="175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</row>
    <row r="728" spans="1:32">
      <c r="A728" s="175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</row>
    <row r="729" spans="1:32">
      <c r="A729" s="175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</row>
    <row r="730" spans="1:32">
      <c r="A730" s="175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</row>
    <row r="731" spans="1:32">
      <c r="A731" s="175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</row>
    <row r="732" spans="1:32">
      <c r="A732" s="175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</row>
    <row r="733" spans="1:32">
      <c r="A733" s="175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</row>
    <row r="734" spans="1:32">
      <c r="A734" s="175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</row>
    <row r="735" spans="1:32">
      <c r="A735" s="175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</row>
    <row r="736" spans="1:32">
      <c r="A736" s="175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</row>
    <row r="737" spans="1:32">
      <c r="A737" s="175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</row>
    <row r="738" spans="1:32">
      <c r="A738" s="175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</row>
    <row r="739" spans="1:32">
      <c r="A739" s="175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</row>
    <row r="740" spans="1:32">
      <c r="A740" s="175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</row>
    <row r="741" spans="1:32">
      <c r="A741" s="175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</row>
    <row r="742" spans="1:32">
      <c r="A742" s="175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</row>
    <row r="743" spans="1:32">
      <c r="A743" s="175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</row>
    <row r="744" spans="1:32">
      <c r="A744" s="175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</row>
    <row r="745" spans="1:32">
      <c r="A745" s="175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</row>
    <row r="746" spans="1:32">
      <c r="A746" s="175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</row>
    <row r="747" spans="1:32">
      <c r="A747" s="175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</row>
    <row r="748" spans="1:32">
      <c r="A748" s="175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</row>
    <row r="749" spans="1:32">
      <c r="A749" s="175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</row>
    <row r="750" spans="1:32">
      <c r="A750" s="175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</row>
    <row r="751" spans="1:32">
      <c r="A751" s="175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</row>
    <row r="752" spans="1:32">
      <c r="A752" s="175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</row>
    <row r="753" spans="1:32">
      <c r="A753" s="175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</row>
    <row r="754" spans="1:32">
      <c r="A754" s="175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</row>
    <row r="755" spans="1:32">
      <c r="A755" s="175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</row>
    <row r="756" spans="1:32">
      <c r="A756" s="175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</row>
    <row r="757" spans="1:32">
      <c r="A757" s="175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</row>
    <row r="758" spans="1:32">
      <c r="A758" s="175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</row>
    <row r="759" spans="1:32">
      <c r="A759" s="175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</row>
    <row r="760" spans="1:32">
      <c r="A760" s="175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</row>
    <row r="761" spans="1:32">
      <c r="A761" s="175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</row>
    <row r="762" spans="1:32">
      <c r="A762" s="175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</row>
    <row r="763" spans="1:32">
      <c r="A763" s="175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</row>
    <row r="764" spans="1:32">
      <c r="A764" s="175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</row>
    <row r="765" spans="1:32">
      <c r="A765" s="175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</row>
    <row r="766" spans="1:32">
      <c r="A766" s="175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</row>
    <row r="767" spans="1:32">
      <c r="A767" s="175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</row>
    <row r="768" spans="1:32">
      <c r="A768" s="175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</row>
    <row r="769" spans="1:32">
      <c r="A769" s="175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</row>
    <row r="770" spans="1:32">
      <c r="A770" s="175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</row>
    <row r="771" spans="1:32">
      <c r="A771" s="175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</row>
    <row r="772" spans="1:32">
      <c r="A772" s="175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</row>
    <row r="773" spans="1:32">
      <c r="A773" s="175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</row>
    <row r="774" spans="1:32">
      <c r="A774" s="175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</row>
    <row r="775" spans="1:32">
      <c r="A775" s="175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</row>
    <row r="776" spans="1:32">
      <c r="A776" s="175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</row>
    <row r="777" spans="1:32">
      <c r="A777" s="175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</row>
    <row r="778" spans="1:32">
      <c r="A778" s="175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</row>
    <row r="779" spans="1:32">
      <c r="A779" s="175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</row>
    <row r="780" spans="1:32">
      <c r="A780" s="175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</row>
    <row r="781" spans="1:32">
      <c r="A781" s="175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</row>
    <row r="782" spans="1:32">
      <c r="A782" s="175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</row>
    <row r="783" spans="1:32">
      <c r="A783" s="175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</row>
    <row r="784" spans="1:32">
      <c r="A784" s="175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</row>
    <row r="785" spans="1:32">
      <c r="A785" s="175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</row>
    <row r="786" spans="1:32">
      <c r="A786" s="175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</row>
    <row r="787" spans="1:32">
      <c r="A787" s="175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</row>
    <row r="788" spans="1:32">
      <c r="A788" s="175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</row>
    <row r="789" spans="1:32">
      <c r="A789" s="175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</row>
    <row r="790" spans="1:32">
      <c r="A790" s="175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</row>
    <row r="791" spans="1:32">
      <c r="A791" s="175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</row>
    <row r="792" spans="1:32">
      <c r="A792" s="175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</row>
    <row r="793" spans="1:32">
      <c r="A793" s="175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</row>
    <row r="794" spans="1:32">
      <c r="A794" s="175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</row>
    <row r="795" spans="1:32">
      <c r="A795" s="175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</row>
    <row r="796" spans="1:32">
      <c r="A796" s="175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</row>
    <row r="797" spans="1:32">
      <c r="A797" s="175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</row>
    <row r="798" spans="1:32">
      <c r="A798" s="175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</row>
    <row r="799" spans="1:32">
      <c r="A799" s="175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</row>
    <row r="800" spans="1:32">
      <c r="A800" s="175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</row>
    <row r="801" spans="1:32">
      <c r="A801" s="175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</row>
    <row r="802" spans="1:32">
      <c r="A802" s="175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</row>
    <row r="803" spans="1:32">
      <c r="A803" s="175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</row>
    <row r="804" spans="1:32">
      <c r="A804" s="175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</row>
    <row r="805" spans="1:32">
      <c r="A805" s="175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</row>
    <row r="806" spans="1:32">
      <c r="A806" s="175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</row>
    <row r="807" spans="1:32">
      <c r="A807" s="175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</row>
    <row r="808" spans="1:32">
      <c r="A808" s="175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</row>
    <row r="809" spans="1:32">
      <c r="A809" s="175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</row>
    <row r="810" spans="1:32">
      <c r="A810" s="175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</row>
    <row r="811" spans="1:32">
      <c r="A811" s="175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</row>
    <row r="812" spans="1:32">
      <c r="A812" s="175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</row>
    <row r="813" spans="1:32">
      <c r="A813" s="175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</row>
    <row r="814" spans="1:32">
      <c r="A814" s="175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</row>
    <row r="815" spans="1:32">
      <c r="A815" s="175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</row>
    <row r="816" spans="1:32">
      <c r="A816" s="175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</row>
    <row r="817" spans="1:32">
      <c r="A817" s="175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</row>
    <row r="818" spans="1:32">
      <c r="A818" s="175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</row>
    <row r="819" spans="1:32">
      <c r="A819" s="175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</row>
    <row r="820" spans="1:32">
      <c r="A820" s="175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</row>
    <row r="821" spans="1:32">
      <c r="A821" s="175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</row>
    <row r="822" spans="1:32">
      <c r="A822" s="175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</row>
    <row r="823" spans="1:32">
      <c r="A823" s="175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</row>
    <row r="824" spans="1:32">
      <c r="A824" s="175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</row>
    <row r="825" spans="1:32">
      <c r="A825" s="175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</row>
    <row r="826" spans="1:32">
      <c r="A826" s="175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</row>
    <row r="827" spans="1:32">
      <c r="A827" s="175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</row>
    <row r="828" spans="1:32">
      <c r="A828" s="175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</row>
    <row r="829" spans="1:32">
      <c r="A829" s="175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</row>
    <row r="830" spans="1:32">
      <c r="A830" s="175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</row>
    <row r="831" spans="1:32">
      <c r="A831" s="175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</row>
    <row r="832" spans="1:32">
      <c r="A832" s="175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</row>
    <row r="833" spans="1:32">
      <c r="A833" s="175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</row>
    <row r="834" spans="1:32">
      <c r="A834" s="175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</row>
    <row r="835" spans="1:32">
      <c r="A835" s="175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</row>
    <row r="836" spans="1:32">
      <c r="A836" s="175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</row>
    <row r="837" spans="1:32">
      <c r="A837" s="175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</row>
    <row r="838" spans="1:32">
      <c r="A838" s="175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</row>
    <row r="839" spans="1:32">
      <c r="A839" s="175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</row>
    <row r="840" spans="1:32">
      <c r="A840" s="175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</row>
    <row r="841" spans="1:32">
      <c r="A841" s="175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</row>
    <row r="842" spans="1:32">
      <c r="A842" s="175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</row>
    <row r="843" spans="1:32">
      <c r="A843" s="175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</row>
    <row r="844" spans="1:32">
      <c r="A844" s="175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</row>
    <row r="845" spans="1:32">
      <c r="A845" s="175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</row>
    <row r="846" spans="1:32">
      <c r="A846" s="175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</row>
    <row r="847" spans="1:32">
      <c r="A847" s="175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</row>
    <row r="848" spans="1:32">
      <c r="A848" s="175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</row>
    <row r="849" spans="1:32">
      <c r="A849" s="175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</row>
    <row r="850" spans="1:32">
      <c r="A850" s="175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</row>
    <row r="851" spans="1:32">
      <c r="A851" s="175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</row>
    <row r="852" spans="1:32">
      <c r="A852" s="175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</row>
    <row r="853" spans="1:32">
      <c r="A853" s="175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</row>
    <row r="854" spans="1:32">
      <c r="A854" s="175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</row>
    <row r="855" spans="1:32">
      <c r="A855" s="175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</row>
    <row r="856" spans="1:32">
      <c r="A856" s="175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</row>
    <row r="857" spans="1:32">
      <c r="A857" s="175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</row>
    <row r="858" spans="1:32">
      <c r="A858" s="175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</row>
    <row r="859" spans="1:32">
      <c r="A859" s="175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</row>
    <row r="860" spans="1:32">
      <c r="A860" s="175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</row>
    <row r="861" spans="1:32">
      <c r="A861" s="175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</row>
    <row r="862" spans="1:32">
      <c r="A862" s="175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</row>
    <row r="863" spans="1:32">
      <c r="A863" s="175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</row>
    <row r="864" spans="1:32">
      <c r="A864" s="175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</row>
    <row r="865" spans="1:32">
      <c r="A865" s="175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</row>
    <row r="866" spans="1:32">
      <c r="A866" s="175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</row>
    <row r="867" spans="1:32">
      <c r="A867" s="175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</row>
    <row r="868" spans="1:32">
      <c r="A868" s="175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</row>
    <row r="869" spans="1:32">
      <c r="A869" s="175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</row>
    <row r="870" spans="1:32">
      <c r="A870" s="175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</row>
    <row r="871" spans="1:32">
      <c r="A871" s="175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</row>
    <row r="872" spans="1:32">
      <c r="A872" s="175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</row>
    <row r="873" spans="1:32">
      <c r="A873" s="175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</row>
    <row r="874" spans="1:32">
      <c r="A874" s="175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</row>
    <row r="875" spans="1:32">
      <c r="A875" s="175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</row>
    <row r="876" spans="1:32">
      <c r="A876" s="175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</row>
    <row r="877" spans="1:32">
      <c r="A877" s="175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</row>
    <row r="878" spans="1:32">
      <c r="A878" s="175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</row>
    <row r="879" spans="1:32">
      <c r="A879" s="175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</row>
    <row r="880" spans="1:32">
      <c r="A880" s="175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</row>
    <row r="881" spans="1:32">
      <c r="A881" s="175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</row>
    <row r="882" spans="1:32">
      <c r="A882" s="175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</row>
    <row r="883" spans="1:32">
      <c r="A883" s="175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</row>
    <row r="884" spans="1:32">
      <c r="A884" s="175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</row>
    <row r="885" spans="1:32">
      <c r="A885" s="175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</row>
    <row r="886" spans="1:32">
      <c r="A886" s="175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</row>
    <row r="887" spans="1:32">
      <c r="A887" s="175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</row>
    <row r="888" spans="1:32">
      <c r="A888" s="175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</row>
    <row r="889" spans="1:32">
      <c r="A889" s="175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</row>
    <row r="890" spans="1:32">
      <c r="A890" s="175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</row>
    <row r="891" spans="1:32">
      <c r="A891" s="175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</row>
    <row r="892" spans="1:32">
      <c r="A892" s="175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</row>
    <row r="893" spans="1:32">
      <c r="A893" s="175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</row>
    <row r="894" spans="1:32">
      <c r="A894" s="175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</row>
    <row r="895" spans="1:32">
      <c r="A895" s="175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</row>
    <row r="896" spans="1:32">
      <c r="A896" s="175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</row>
    <row r="897" spans="1:32">
      <c r="A897" s="175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</row>
    <row r="898" spans="1:32">
      <c r="A898" s="175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</row>
    <row r="899" spans="1:32">
      <c r="A899" s="175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</row>
    <row r="900" spans="1:32">
      <c r="A900" s="175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</row>
    <row r="901" spans="1:32">
      <c r="A901" s="175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</row>
    <row r="902" spans="1:32">
      <c r="A902" s="175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</row>
    <row r="903" spans="1:32">
      <c r="A903" s="175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</row>
    <row r="904" spans="1:32">
      <c r="A904" s="175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</row>
    <row r="905" spans="1:32">
      <c r="A905" s="175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</row>
    <row r="906" spans="1:32">
      <c r="A906" s="175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</row>
    <row r="907" spans="1:32">
      <c r="A907" s="175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</row>
    <row r="908" spans="1:32">
      <c r="A908" s="175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</row>
    <row r="909" spans="1:32">
      <c r="A909" s="175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</row>
    <row r="910" spans="1:32">
      <c r="A910" s="175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</row>
    <row r="911" spans="1:32">
      <c r="A911" s="175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</row>
    <row r="912" spans="1:32">
      <c r="A912" s="175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</row>
    <row r="913" spans="1:32">
      <c r="A913" s="175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</row>
    <row r="914" spans="1:32">
      <c r="A914" s="175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</row>
    <row r="915" spans="1:32">
      <c r="A915" s="175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</row>
    <row r="916" spans="1:32">
      <c r="A916" s="175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</row>
    <row r="917" spans="1:32">
      <c r="A917" s="175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</row>
    <row r="918" spans="1:32">
      <c r="A918" s="175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</row>
    <row r="919" spans="1:32">
      <c r="A919" s="175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</row>
    <row r="920" spans="1:32">
      <c r="A920" s="175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</row>
    <row r="921" spans="1:32">
      <c r="A921" s="175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</row>
    <row r="922" spans="1:32">
      <c r="A922" s="175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</row>
    <row r="923" spans="1:32">
      <c r="A923" s="175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</row>
    <row r="924" spans="1:32">
      <c r="A924" s="175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</row>
    <row r="925" spans="1:32">
      <c r="A925" s="175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</row>
    <row r="926" spans="1:32">
      <c r="A926" s="175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</row>
    <row r="927" spans="1:32">
      <c r="A927" s="175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</row>
    <row r="928" spans="1:32">
      <c r="A928" s="175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</row>
    <row r="929" spans="1:32">
      <c r="A929" s="175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</row>
    <row r="930" spans="1:32">
      <c r="A930" s="175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</row>
    <row r="931" spans="1:32">
      <c r="A931" s="175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</row>
    <row r="932" spans="1:32">
      <c r="A932" s="175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</row>
    <row r="933" spans="1:32">
      <c r="A933" s="175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</row>
    <row r="934" spans="1:32">
      <c r="A934" s="175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</row>
    <row r="935" spans="1:32">
      <c r="A935" s="175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</row>
    <row r="936" spans="1:32">
      <c r="A936" s="175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</row>
    <row r="937" spans="1:32">
      <c r="A937" s="175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</row>
    <row r="938" spans="1:32">
      <c r="A938" s="175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</row>
    <row r="939" spans="1:32">
      <c r="A939" s="175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</row>
    <row r="940" spans="1:32">
      <c r="A940" s="175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</row>
    <row r="941" spans="1:32">
      <c r="A941" s="175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</row>
    <row r="942" spans="1:32">
      <c r="A942" s="175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</row>
    <row r="943" spans="1:32">
      <c r="A943" s="175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</row>
    <row r="944" spans="1:32">
      <c r="A944" s="175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</row>
    <row r="945" spans="1:32">
      <c r="A945" s="175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</row>
    <row r="946" spans="1:32">
      <c r="A946" s="175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</row>
    <row r="947" spans="1:32">
      <c r="A947" s="175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</row>
    <row r="948" spans="1:32">
      <c r="A948" s="175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</row>
    <row r="949" spans="1:32">
      <c r="A949" s="175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</row>
    <row r="950" spans="1:32">
      <c r="A950" s="175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</row>
    <row r="951" spans="1:32">
      <c r="A951" s="175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</row>
    <row r="952" spans="1:32">
      <c r="A952" s="175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</row>
    <row r="953" spans="1:32">
      <c r="A953" s="175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</row>
    <row r="954" spans="1:32">
      <c r="A954" s="175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</row>
    <row r="955" spans="1:32">
      <c r="A955" s="175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</row>
    <row r="956" spans="1:32">
      <c r="A956" s="175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</row>
    <row r="957" spans="1:32">
      <c r="A957" s="175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</row>
    <row r="958" spans="1:32">
      <c r="A958" s="175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</row>
    <row r="959" spans="1:32">
      <c r="A959" s="175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</row>
    <row r="960" spans="1:32">
      <c r="A960" s="175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</row>
    <row r="961" spans="1:32">
      <c r="A961" s="175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</row>
    <row r="962" spans="1:32">
      <c r="A962" s="175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</row>
    <row r="963" spans="1:32">
      <c r="A963" s="175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</row>
    <row r="964" spans="1:32">
      <c r="A964" s="175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</row>
    <row r="965" spans="1:32">
      <c r="A965" s="175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</row>
    <row r="966" spans="1:32">
      <c r="A966" s="175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</row>
    <row r="967" spans="1:32">
      <c r="A967" s="175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</row>
    <row r="968" spans="1:32">
      <c r="A968" s="175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</row>
    <row r="969" spans="1:32">
      <c r="A969" s="175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</row>
    <row r="970" spans="1:32">
      <c r="A970" s="175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</row>
    <row r="971" spans="1:32">
      <c r="A971" s="175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</row>
    <row r="972" spans="1:32">
      <c r="A972" s="175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</row>
    <row r="973" spans="1:32">
      <c r="A973" s="175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</row>
    <row r="974" spans="1:32">
      <c r="A974" s="175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</row>
    <row r="975" spans="1:32">
      <c r="A975" s="175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</row>
    <row r="976" spans="1:32">
      <c r="A976" s="175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</row>
    <row r="977" spans="1:32">
      <c r="A977" s="175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</row>
    <row r="978" spans="1:32">
      <c r="A978" s="175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</row>
    <row r="979" spans="1:32">
      <c r="A979" s="175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</row>
    <row r="980" spans="1:32">
      <c r="A980" s="175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</row>
    <row r="981" spans="1:32">
      <c r="A981" s="175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</row>
    <row r="982" spans="1:32">
      <c r="A982" s="175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</row>
    <row r="983" spans="1:32">
      <c r="A983" s="175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</row>
    <row r="984" spans="1:32">
      <c r="A984" s="175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</row>
    <row r="985" spans="1:32">
      <c r="A985" s="175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</row>
    <row r="986" spans="1:32">
      <c r="A986" s="175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</row>
    <row r="987" spans="1:32">
      <c r="A987" s="175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</row>
    <row r="988" spans="1:32">
      <c r="A988" s="175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</row>
    <row r="989" spans="1:32">
      <c r="A989" s="175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</row>
    <row r="990" spans="1:32">
      <c r="A990" s="175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</row>
    <row r="991" spans="1:32">
      <c r="A991" s="175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</row>
    <row r="992" spans="1:32">
      <c r="A992" s="175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</row>
    <row r="993" spans="1:32">
      <c r="A993" s="175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</row>
    <row r="994" spans="1:32">
      <c r="A994" s="175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</row>
    <row r="995" spans="1:32">
      <c r="A995" s="175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</row>
    <row r="996" spans="1:32">
      <c r="A996" s="175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</row>
    <row r="997" spans="1:32">
      <c r="A997" s="175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</row>
    <row r="998" spans="1:32">
      <c r="A998" s="175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</row>
    <row r="999" spans="1:32">
      <c r="A999" s="175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</row>
    <row r="1000" spans="1:32">
      <c r="A1000" s="175"/>
      <c r="B1000" s="175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H25"/>
  <sheetViews>
    <sheetView workbookViewId="0">
      <selection activeCell="AC22" sqref="AC22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/>
      <c r="C3" s="20"/>
      <c r="D3" s="21"/>
      <c r="E3" s="18"/>
      <c r="F3" s="18"/>
      <c r="G3" s="18" t="s">
        <v>18</v>
      </c>
      <c r="H3" s="18"/>
      <c r="I3" s="21"/>
      <c r="J3" s="22"/>
      <c r="K3" s="22"/>
      <c r="L3" s="22"/>
      <c r="M3" s="22"/>
      <c r="N3" s="6"/>
      <c r="O3" s="23" t="s">
        <v>14</v>
      </c>
      <c r="P3" s="18"/>
      <c r="Q3" s="24"/>
      <c r="R3" s="24"/>
      <c r="S3" s="24"/>
      <c r="T3" s="24"/>
      <c r="U3" s="18">
        <v>144</v>
      </c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1</v>
      </c>
      <c r="AE3" s="27">
        <f>COUNTIFS(P3:AA10,"&gt;0",P3:AA10,"&lt;51",B3:M10,"=i")</f>
        <v>0</v>
      </c>
      <c r="AF3" s="28">
        <f>COUNTIFS(P3:AA10,"&gt;0",P3:AA10,"&lt;51",B3:M10,"=s")</f>
        <v>1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/>
      <c r="C4" s="18"/>
      <c r="D4" s="18"/>
      <c r="E4" s="18"/>
      <c r="F4" s="18"/>
      <c r="G4" s="18" t="s">
        <v>17</v>
      </c>
      <c r="H4" s="18"/>
      <c r="I4" s="21"/>
      <c r="J4" s="21"/>
      <c r="K4" s="22"/>
      <c r="L4" s="22"/>
      <c r="M4" s="22"/>
      <c r="N4" s="6"/>
      <c r="O4" s="23" t="s">
        <v>32</v>
      </c>
      <c r="P4" s="18"/>
      <c r="Q4" s="24"/>
      <c r="R4" s="24"/>
      <c r="S4" s="24"/>
      <c r="T4" s="24"/>
      <c r="U4" s="18">
        <v>95</v>
      </c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1</v>
      </c>
      <c r="AE4" s="27">
        <f>COUNTIFS(P4:AA11,"&gt;50",P4:AA11,"&lt;126",B4:M11,"=i")</f>
        <v>1</v>
      </c>
      <c r="AF4" s="28">
        <f>COUNTIFS(P4:AA11,"&gt;50",P4:AA11,"&lt;126",B4:M11,"=s")</f>
        <v>0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/>
      <c r="C5" s="18"/>
      <c r="D5" s="18"/>
      <c r="E5" s="18"/>
      <c r="F5" s="18"/>
      <c r="G5" s="18" t="s">
        <v>18</v>
      </c>
      <c r="H5" s="18"/>
      <c r="I5" s="21"/>
      <c r="J5" s="21"/>
      <c r="K5" s="22"/>
      <c r="L5" s="22"/>
      <c r="M5" s="22"/>
      <c r="N5" s="6"/>
      <c r="O5" s="23" t="s">
        <v>34</v>
      </c>
      <c r="P5" s="18"/>
      <c r="Q5" s="24"/>
      <c r="R5" s="24"/>
      <c r="S5" s="24"/>
      <c r="T5" s="24"/>
      <c r="U5" s="18" t="s">
        <v>37</v>
      </c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1</v>
      </c>
      <c r="AE5" s="27">
        <f>COUNTIFS(P5:AA11,"&gt;125",P5:AA11,"&lt;251",B5:M11,"=i")</f>
        <v>0</v>
      </c>
      <c r="AF5" s="28">
        <f>COUNTIFS(P5:AA11,"&gt;125",P5:AA11,"&lt;251",B5:M11,"=s")</f>
        <v>0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/>
      <c r="C6" s="18"/>
      <c r="D6" s="18"/>
      <c r="E6" s="18"/>
      <c r="F6" s="18"/>
      <c r="G6" s="18" t="s">
        <v>18</v>
      </c>
      <c r="H6" s="21"/>
      <c r="I6" s="21"/>
      <c r="J6" s="21"/>
      <c r="K6" s="22"/>
      <c r="L6" s="22"/>
      <c r="M6" s="22"/>
      <c r="N6" s="6"/>
      <c r="O6" s="23" t="s">
        <v>38</v>
      </c>
      <c r="P6" s="24"/>
      <c r="Q6" s="24"/>
      <c r="R6" s="24"/>
      <c r="S6" s="24"/>
      <c r="T6" s="24"/>
      <c r="U6" s="18">
        <v>42</v>
      </c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0</v>
      </c>
      <c r="AE6" s="27">
        <f>COUNTIFS(P6:AA12,"&gt;250",P6:AA12,"&lt;501",B6:M12,"=i")</f>
        <v>0</v>
      </c>
      <c r="AF6" s="28">
        <f>COUNTIFS(P6:AA12,"&gt;250",P6:AA12,"&lt;501",B6:M12,"=s")</f>
        <v>0</v>
      </c>
      <c r="AG6" s="30">
        <f>COUNTIFS(P6:AA12,"&gt;250",P6:AA12,"&lt;501",B6:M12,"=g")</f>
        <v>0</v>
      </c>
      <c r="AH6" s="10"/>
    </row>
    <row r="7" spans="1:34">
      <c r="A7" s="16" t="s">
        <v>40</v>
      </c>
      <c r="B7" s="18"/>
      <c r="C7" s="21"/>
      <c r="D7" s="18"/>
      <c r="E7" s="18"/>
      <c r="F7" s="18"/>
      <c r="G7" s="21"/>
      <c r="H7" s="21"/>
      <c r="I7" s="21"/>
      <c r="J7" s="21"/>
      <c r="K7" s="22"/>
      <c r="L7" s="22"/>
      <c r="M7" s="22"/>
      <c r="N7" s="6"/>
      <c r="O7" s="23" t="s">
        <v>40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COUNTIFS(P7:AA13,"&gt;500",B7:M13,"=i")</f>
        <v>0</v>
      </c>
      <c r="AF7" s="28">
        <f>COUNTIFS(P7:AA13,"&gt;500",B7:M13,"=s")</f>
        <v>0</v>
      </c>
      <c r="AG7" s="30">
        <f>COUNTIFS(P7:AA13,"&gt;500",B7:M13,"=g")</f>
        <v>0</v>
      </c>
      <c r="AH7" s="10"/>
    </row>
    <row r="8" spans="1:34">
      <c r="A8" s="16" t="s">
        <v>42</v>
      </c>
      <c r="B8" s="18"/>
      <c r="C8" s="21"/>
      <c r="D8" s="18"/>
      <c r="E8" s="18"/>
      <c r="F8" s="18"/>
      <c r="G8" s="21"/>
      <c r="H8" s="21"/>
      <c r="I8" s="21"/>
      <c r="J8" s="21"/>
      <c r="K8" s="22"/>
      <c r="L8" s="22"/>
      <c r="M8" s="22"/>
      <c r="N8" s="6"/>
      <c r="O8" s="23" t="s">
        <v>42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/>
      <c r="C9" s="18"/>
      <c r="D9" s="18"/>
      <c r="E9" s="18"/>
      <c r="F9" s="18"/>
      <c r="G9" s="18"/>
      <c r="H9" s="21"/>
      <c r="I9" s="21"/>
      <c r="J9" s="21"/>
      <c r="K9" s="22"/>
      <c r="L9" s="22"/>
      <c r="M9" s="22"/>
      <c r="N9" s="6"/>
      <c r="O9" s="23" t="s">
        <v>43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/>
      <c r="C10" s="18"/>
      <c r="D10" s="18"/>
      <c r="E10" s="18"/>
      <c r="F10" s="18"/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2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3" spans="1:34">
      <c r="A13" s="29" t="s">
        <v>51</v>
      </c>
      <c r="B13" s="29"/>
      <c r="O13" s="29" t="s">
        <v>51</v>
      </c>
    </row>
    <row r="14" spans="1:34">
      <c r="A14" s="4" t="s">
        <v>3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6"/>
      <c r="O14" s="7" t="s">
        <v>8</v>
      </c>
      <c r="P14" s="8">
        <v>1</v>
      </c>
      <c r="Q14" s="8">
        <v>2</v>
      </c>
      <c r="R14" s="8">
        <v>3</v>
      </c>
      <c r="S14" s="8">
        <v>4</v>
      </c>
      <c r="T14" s="8">
        <v>5</v>
      </c>
      <c r="U14" s="8">
        <v>6</v>
      </c>
      <c r="V14" s="8">
        <v>7</v>
      </c>
      <c r="W14" s="8">
        <v>8</v>
      </c>
      <c r="X14" s="8">
        <v>9</v>
      </c>
      <c r="Y14" s="8">
        <v>10</v>
      </c>
      <c r="Z14" s="8">
        <v>11</v>
      </c>
      <c r="AA14" s="8">
        <v>12</v>
      </c>
      <c r="AB14" s="10"/>
      <c r="AC14" s="11" t="s">
        <v>9</v>
      </c>
      <c r="AD14" s="12" t="s">
        <v>10</v>
      </c>
      <c r="AE14" s="13" t="s">
        <v>11</v>
      </c>
      <c r="AF14" s="13" t="s">
        <v>12</v>
      </c>
      <c r="AG14" s="13" t="s">
        <v>13</v>
      </c>
    </row>
    <row r="15" spans="1:34">
      <c r="A15" s="16" t="s">
        <v>14</v>
      </c>
      <c r="B15" s="18" t="s">
        <v>17</v>
      </c>
      <c r="C15" s="20" t="s">
        <v>18</v>
      </c>
      <c r="D15" s="21"/>
      <c r="E15" s="18"/>
      <c r="F15" s="18"/>
      <c r="G15" s="18"/>
      <c r="H15" s="18"/>
      <c r="I15" s="21"/>
      <c r="J15" s="22"/>
      <c r="K15" s="22"/>
      <c r="L15" s="22"/>
      <c r="M15" s="22"/>
      <c r="N15" s="6"/>
      <c r="O15" s="23" t="s">
        <v>14</v>
      </c>
      <c r="P15" s="18">
        <v>54</v>
      </c>
      <c r="Q15" s="18">
        <v>82</v>
      </c>
      <c r="R15" s="24"/>
      <c r="S15" s="24"/>
      <c r="T15" s="24"/>
      <c r="U15" s="18"/>
      <c r="V15" s="24"/>
      <c r="W15" s="24"/>
      <c r="X15" s="24"/>
      <c r="Y15" s="24"/>
      <c r="Z15" s="24"/>
      <c r="AA15" s="24"/>
      <c r="AB15" s="10"/>
      <c r="AC15" s="25" t="s">
        <v>21</v>
      </c>
      <c r="AD15" s="26">
        <f>COUNTIFS(P15:AA22,"&gt;0",P15:AA22,"&lt;51")</f>
        <v>3</v>
      </c>
      <c r="AE15" s="27">
        <f>COUNTIFS(P15:AA22,"&gt;0",P15:AA22,"&lt;51",B15:M22,"=i")</f>
        <v>2</v>
      </c>
      <c r="AF15" s="28">
        <f>COUNTIFS(P15:AA22,"&gt;0",P15:AA22,"&lt;51",B15:M22,"=s")</f>
        <v>1</v>
      </c>
      <c r="AG15" s="30">
        <f>COUNTIFS(P15:AA22,"&gt;0",P15:AA22,"&lt;51",B15:M22,"=g")</f>
        <v>0</v>
      </c>
    </row>
    <row r="16" spans="1:34">
      <c r="A16" s="16" t="s">
        <v>32</v>
      </c>
      <c r="B16" s="18" t="s">
        <v>17</v>
      </c>
      <c r="C16" s="18" t="s">
        <v>17</v>
      </c>
      <c r="D16" s="18"/>
      <c r="E16" s="18"/>
      <c r="F16" s="18"/>
      <c r="G16" s="18"/>
      <c r="H16" s="18"/>
      <c r="I16" s="21"/>
      <c r="J16" s="21"/>
      <c r="K16" s="22"/>
      <c r="L16" s="22"/>
      <c r="M16" s="22"/>
      <c r="N16" s="6"/>
      <c r="O16" s="23" t="s">
        <v>32</v>
      </c>
      <c r="P16" s="18" t="s">
        <v>37</v>
      </c>
      <c r="Q16" s="18">
        <v>35</v>
      </c>
      <c r="R16" s="24"/>
      <c r="S16" s="24"/>
      <c r="T16" s="24"/>
      <c r="U16" s="18"/>
      <c r="V16" s="24"/>
      <c r="W16" s="24"/>
      <c r="X16" s="24"/>
      <c r="Y16" s="24"/>
      <c r="Z16" s="24"/>
      <c r="AA16" s="24"/>
      <c r="AB16" s="10"/>
      <c r="AC16" s="25" t="s">
        <v>33</v>
      </c>
      <c r="AD16" s="31">
        <f>COUNTIFS(P15:AA22,"&gt;50",P15:AA22,"&lt;126")</f>
        <v>6</v>
      </c>
      <c r="AE16" s="27">
        <f>COUNTIFS(P16:AA23,"&gt;50",P16:AA23,"&lt;126",B16:M23,"=i")</f>
        <v>3</v>
      </c>
      <c r="AF16" s="28">
        <f>COUNTIFS(P16:AA23,"&gt;50",P16:AA23,"&lt;126",B16:M23,"=s")</f>
        <v>1</v>
      </c>
      <c r="AG16" s="30">
        <f>COUNTIFS(P16:AA23,"&gt;50",P16:AA23,"&lt;126",B16:M23,"=g")</f>
        <v>0</v>
      </c>
    </row>
    <row r="17" spans="1:33">
      <c r="A17" s="16" t="s">
        <v>34</v>
      </c>
      <c r="B17" s="18" t="s">
        <v>17</v>
      </c>
      <c r="C17" s="18" t="s">
        <v>17</v>
      </c>
      <c r="D17" s="18"/>
      <c r="E17" s="18"/>
      <c r="F17" s="18"/>
      <c r="G17" s="18"/>
      <c r="H17" s="18"/>
      <c r="I17" s="21"/>
      <c r="J17" s="21"/>
      <c r="K17" s="22"/>
      <c r="L17" s="22"/>
      <c r="M17" s="22"/>
      <c r="N17" s="6"/>
      <c r="O17" s="23" t="s">
        <v>34</v>
      </c>
      <c r="P17" s="18">
        <v>101</v>
      </c>
      <c r="Q17" s="18">
        <v>27</v>
      </c>
      <c r="R17" s="24"/>
      <c r="S17" s="24"/>
      <c r="T17" s="24"/>
      <c r="U17" s="18"/>
      <c r="V17" s="24"/>
      <c r="W17" s="24"/>
      <c r="X17" s="24"/>
      <c r="Y17" s="24"/>
      <c r="Z17" s="24"/>
      <c r="AA17" s="24"/>
      <c r="AB17" s="10"/>
      <c r="AC17" s="25" t="s">
        <v>36</v>
      </c>
      <c r="AD17" s="31">
        <f>COUNTIFS(P15:AA22,"&gt;125",P15:AA22,"&lt;251")</f>
        <v>0</v>
      </c>
      <c r="AE17" s="27">
        <f>COUNTIFS(P17:AA24,"&gt;125",P17:AA24,"&lt;251",B17:M24,"=i")</f>
        <v>0</v>
      </c>
      <c r="AF17" s="28">
        <f>COUNTIFS(P17:AA24,"&gt;125",P17:AA24,"&lt;251",B17:M24,"=s")</f>
        <v>0</v>
      </c>
      <c r="AG17" s="30">
        <f>COUNTIFS(P17:AA24,"&gt;125",P17:AA24,"&lt;251",B17:M24,"=g")</f>
        <v>0</v>
      </c>
    </row>
    <row r="18" spans="1:33">
      <c r="A18" s="16" t="s">
        <v>38</v>
      </c>
      <c r="B18" s="18" t="s">
        <v>18</v>
      </c>
      <c r="C18" s="18" t="s">
        <v>18</v>
      </c>
      <c r="D18" s="18"/>
      <c r="E18" s="18"/>
      <c r="F18" s="18"/>
      <c r="G18" s="18"/>
      <c r="H18" s="21"/>
      <c r="I18" s="21"/>
      <c r="J18" s="21"/>
      <c r="K18" s="22"/>
      <c r="L18" s="22"/>
      <c r="M18" s="22"/>
      <c r="N18" s="6"/>
      <c r="O18" s="23" t="s">
        <v>38</v>
      </c>
      <c r="P18" s="18">
        <v>50</v>
      </c>
      <c r="Q18" s="18">
        <v>123</v>
      </c>
      <c r="R18" s="24"/>
      <c r="S18" s="24"/>
      <c r="T18" s="24"/>
      <c r="U18" s="18"/>
      <c r="V18" s="24"/>
      <c r="W18" s="24"/>
      <c r="X18" s="24"/>
      <c r="Y18" s="24"/>
      <c r="Z18" s="24"/>
      <c r="AA18" s="24"/>
      <c r="AB18" s="10"/>
      <c r="AC18" s="25" t="s">
        <v>39</v>
      </c>
      <c r="AD18" s="31">
        <f>COUNTIFS(P15:AA22,"&gt;250",P15:AA22,"&lt;501")</f>
        <v>0</v>
      </c>
      <c r="AE18" s="27">
        <f>COUNTIFS(P18:AA25,"&gt;250",P18:AA25,"&lt;501",B18:M25,"=i")</f>
        <v>0</v>
      </c>
      <c r="AF18" s="28">
        <f>COUNTIFS(P18:AA25,"&gt;250",P18:AA25,"&lt;501",B18:M25,"=s")</f>
        <v>0</v>
      </c>
      <c r="AG18" s="30">
        <f>COUNTIFS(P18:AA25,"&gt;250",P18:AA25,"&lt;501",B18:M25,"=g")</f>
        <v>0</v>
      </c>
    </row>
    <row r="19" spans="1:33">
      <c r="A19" s="16" t="s">
        <v>40</v>
      </c>
      <c r="B19" s="18" t="s">
        <v>18</v>
      </c>
      <c r="C19" s="21" t="s">
        <v>17</v>
      </c>
      <c r="D19" s="18"/>
      <c r="E19" s="18"/>
      <c r="F19" s="18"/>
      <c r="G19" s="21"/>
      <c r="H19" s="21"/>
      <c r="I19" s="21"/>
      <c r="J19" s="21"/>
      <c r="K19" s="22"/>
      <c r="L19" s="22"/>
      <c r="M19" s="22"/>
      <c r="N19" s="6"/>
      <c r="O19" s="23" t="s">
        <v>40</v>
      </c>
      <c r="P19" s="18" t="s">
        <v>37</v>
      </c>
      <c r="Q19" s="18">
        <v>90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0"/>
      <c r="AC19" s="25" t="s">
        <v>41</v>
      </c>
      <c r="AD19" s="31">
        <f>COUNTIF(P15:AA22,"&gt;500")</f>
        <v>0</v>
      </c>
      <c r="AE19" s="27">
        <f>COUNTIFS(P19:AA26,"&gt;500",B19:M26,"=i")</f>
        <v>0</v>
      </c>
      <c r="AF19" s="28">
        <f>COUNTIFS(P19:AA26,"&gt;500",B19:M26,"=s")</f>
        <v>0</v>
      </c>
      <c r="AG19" s="30">
        <f>COUNTIFS(P19:AA26,"&gt;500",B19:M26,"=g")</f>
        <v>0</v>
      </c>
    </row>
    <row r="20" spans="1:33">
      <c r="A20" s="16" t="s">
        <v>42</v>
      </c>
      <c r="B20" s="18" t="s">
        <v>17</v>
      </c>
      <c r="C20" s="21" t="s">
        <v>17</v>
      </c>
      <c r="D20" s="18"/>
      <c r="E20" s="18"/>
      <c r="F20" s="18"/>
      <c r="G20" s="21"/>
      <c r="H20" s="21"/>
      <c r="I20" s="21"/>
      <c r="J20" s="21"/>
      <c r="K20" s="22"/>
      <c r="L20" s="22"/>
      <c r="M20" s="22"/>
      <c r="N20" s="6"/>
      <c r="O20" s="23" t="s">
        <v>42</v>
      </c>
      <c r="P20" s="18">
        <v>87</v>
      </c>
      <c r="Q20" s="18" t="s">
        <v>37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0"/>
      <c r="AC20" s="10"/>
      <c r="AD20" s="10"/>
      <c r="AE20" s="10"/>
      <c r="AF20" s="10"/>
      <c r="AG20" s="10"/>
    </row>
    <row r="21" spans="1:33">
      <c r="A21" s="16" t="s">
        <v>43</v>
      </c>
      <c r="B21" s="18" t="s">
        <v>17</v>
      </c>
      <c r="C21" s="18"/>
      <c r="D21" s="18"/>
      <c r="E21" s="18"/>
      <c r="F21" s="18"/>
      <c r="G21" s="18"/>
      <c r="H21" s="21"/>
      <c r="I21" s="21"/>
      <c r="J21" s="21"/>
      <c r="K21" s="22"/>
      <c r="L21" s="22"/>
      <c r="M21" s="22"/>
      <c r="N21" s="6"/>
      <c r="O21" s="23" t="s">
        <v>43</v>
      </c>
      <c r="P21" s="18" t="s">
        <v>37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0"/>
      <c r="AC21" s="10"/>
      <c r="AE21" s="10"/>
      <c r="AF21" s="10"/>
      <c r="AG21" s="10"/>
    </row>
    <row r="22" spans="1:33">
      <c r="A22" s="16" t="s">
        <v>47</v>
      </c>
      <c r="B22" s="18"/>
      <c r="C22" s="18"/>
      <c r="D22" s="18"/>
      <c r="E22" s="18"/>
      <c r="F22" s="18"/>
      <c r="G22" s="18"/>
      <c r="H22" s="21"/>
      <c r="I22" s="21"/>
      <c r="J22" s="22"/>
      <c r="K22" s="22"/>
      <c r="L22" s="24"/>
      <c r="M22" s="24"/>
      <c r="N22" s="6"/>
      <c r="O22" s="23" t="s">
        <v>47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0"/>
      <c r="AC22" s="29" t="s">
        <v>48</v>
      </c>
      <c r="AD22">
        <f>SUM(AD3:AD7,AD15:AD19)</f>
        <v>12</v>
      </c>
      <c r="AE22" s="10"/>
      <c r="AF22" s="10"/>
      <c r="AG22" s="10"/>
    </row>
    <row r="23" spans="1:33">
      <c r="P23" s="29"/>
      <c r="Q23" s="29"/>
    </row>
    <row r="25" spans="1:33">
      <c r="A25" s="203" t="s">
        <v>705</v>
      </c>
    </row>
  </sheetData>
  <conditionalFormatting sqref="P3:AA10 P15:AA22">
    <cfRule type="cellIs" dxfId="153" priority="1" operator="equal">
      <formula>"u"</formula>
    </cfRule>
  </conditionalFormatting>
  <conditionalFormatting sqref="P3:AA10 P15:AA22">
    <cfRule type="cellIs" dxfId="152" priority="2" operator="equal">
      <formula>"N"</formula>
    </cfRule>
  </conditionalFormatting>
  <conditionalFormatting sqref="P3:AA10 P15:AA22">
    <cfRule type="cellIs" dxfId="151" priority="3" operator="equal">
      <formula>"?"</formula>
    </cfRule>
  </conditionalFormatting>
  <conditionalFormatting sqref="P3:AA10 P15:AA22">
    <cfRule type="cellIs" dxfId="150" priority="4" operator="equal">
      <formula>"X"</formula>
    </cfRule>
  </conditionalFormatting>
  <conditionalFormatting sqref="P3:AA10 P15:AA22">
    <cfRule type="cellIs" dxfId="149" priority="5" operator="equal">
      <formula>0</formula>
    </cfRule>
  </conditionalFormatting>
  <conditionalFormatting sqref="B3:M10 B15:M22">
    <cfRule type="endsWith" dxfId="148" priority="6" operator="endsWith" text="?">
      <formula>RIGHT((B3),LEN("?"))=("?")</formula>
    </cfRule>
  </conditionalFormatting>
  <conditionalFormatting sqref="B3:M10 P3:AA10 B15:M22 P15:AA22">
    <cfRule type="notContainsBlanks" dxfId="147" priority="7">
      <formula>LEN(TRIM(B3))&gt;0</formula>
    </cfRule>
  </conditionalFormatting>
  <conditionalFormatting sqref="B3:M10 B15:M22">
    <cfRule type="containsBlanks" dxfId="146" priority="8">
      <formula>LEN(TRIM(B3))=0</formula>
    </cfRule>
  </conditionalFormatting>
  <conditionalFormatting sqref="P3 P15">
    <cfRule type="notContainsBlanks" dxfId="145" priority="9">
      <formula>LEN(TRIM(P3))&gt;0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X37"/>
  <sheetViews>
    <sheetView workbookViewId="0">
      <selection activeCell="P14" sqref="P14"/>
    </sheetView>
  </sheetViews>
  <sheetFormatPr baseColWidth="10" defaultColWidth="11.1640625" defaultRowHeight="15" customHeight="1"/>
  <cols>
    <col min="1" max="3" width="10.5" customWidth="1"/>
    <col min="4" max="4" width="18.1640625" customWidth="1"/>
    <col min="5" max="5" width="22" customWidth="1"/>
    <col min="6" max="6" width="11.83203125" customWidth="1"/>
    <col min="7" max="15" width="10.5" customWidth="1"/>
    <col min="16" max="18" width="14.33203125" customWidth="1"/>
    <col min="19" max="29" width="10.5" customWidth="1"/>
  </cols>
  <sheetData>
    <row r="1" spans="1:24">
      <c r="A1" t="s">
        <v>144</v>
      </c>
      <c r="H1" t="s">
        <v>145</v>
      </c>
    </row>
    <row r="2" spans="1:24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s="29" t="s">
        <v>151</v>
      </c>
      <c r="H2" s="29" t="s">
        <v>152</v>
      </c>
      <c r="I2" s="29" t="s">
        <v>153</v>
      </c>
      <c r="J2" s="29" t="s">
        <v>154</v>
      </c>
      <c r="K2" t="s">
        <v>2</v>
      </c>
      <c r="L2" t="s">
        <v>4</v>
      </c>
      <c r="M2" t="s">
        <v>5</v>
      </c>
      <c r="N2" t="s">
        <v>6</v>
      </c>
      <c r="O2" t="s">
        <v>7</v>
      </c>
      <c r="P2" s="29" t="s">
        <v>155</v>
      </c>
      <c r="Q2" s="29" t="s">
        <v>156</v>
      </c>
      <c r="R2" s="29" t="s">
        <v>157</v>
      </c>
    </row>
    <row r="3" spans="1:24">
      <c r="A3" s="87" t="s">
        <v>158</v>
      </c>
      <c r="B3" t="s">
        <v>159</v>
      </c>
      <c r="C3" t="s">
        <v>160</v>
      </c>
      <c r="D3">
        <v>270</v>
      </c>
      <c r="E3" s="88" t="s">
        <v>161</v>
      </c>
      <c r="F3" t="s">
        <v>162</v>
      </c>
      <c r="G3">
        <f t="shared" ref="G3:G7" si="0">SUM(J3:O3)</f>
        <v>246.7</v>
      </c>
      <c r="H3">
        <f t="shared" ref="H3:H7" si="1">D3-G3</f>
        <v>23.300000000000011</v>
      </c>
      <c r="I3" s="89">
        <f t="shared" ref="I3:I7" si="2">H3/D3*100</f>
        <v>8.6296296296296351</v>
      </c>
      <c r="J3" s="29">
        <v>54</v>
      </c>
      <c r="K3" s="29">
        <v>36.5</v>
      </c>
      <c r="L3" s="29">
        <v>46.7</v>
      </c>
      <c r="M3" s="29">
        <v>68.599999999999994</v>
      </c>
      <c r="N3" s="90">
        <v>39.200000000000003</v>
      </c>
      <c r="O3" s="29">
        <v>1.7</v>
      </c>
      <c r="P3" s="91">
        <f>M3</f>
        <v>68.599999999999994</v>
      </c>
      <c r="Q3" s="91"/>
      <c r="R3">
        <f t="shared" ref="R3:R5" si="3">K3+L3+M3</f>
        <v>151.80000000000001</v>
      </c>
    </row>
    <row r="4" spans="1:24">
      <c r="A4" s="87" t="s">
        <v>163</v>
      </c>
      <c r="B4" t="s">
        <v>164</v>
      </c>
      <c r="C4" t="s">
        <v>164</v>
      </c>
      <c r="D4">
        <v>760</v>
      </c>
      <c r="E4" s="88" t="s">
        <v>165</v>
      </c>
      <c r="F4" t="s">
        <v>162</v>
      </c>
      <c r="G4">
        <f t="shared" si="0"/>
        <v>688.50000000000011</v>
      </c>
      <c r="H4">
        <f t="shared" si="1"/>
        <v>71.499999999999886</v>
      </c>
      <c r="I4" s="89">
        <f t="shared" si="2"/>
        <v>9.4078947368420902</v>
      </c>
      <c r="J4" s="29">
        <v>128.80000000000001</v>
      </c>
      <c r="K4" s="29">
        <v>21</v>
      </c>
      <c r="L4" s="29">
        <v>290.7</v>
      </c>
      <c r="M4" s="29">
        <v>197.6</v>
      </c>
      <c r="N4" s="90">
        <v>49.7</v>
      </c>
      <c r="O4" s="29">
        <v>0.7</v>
      </c>
      <c r="P4" s="91">
        <f>M4</f>
        <v>197.6</v>
      </c>
      <c r="Q4" s="91"/>
      <c r="R4">
        <f t="shared" si="3"/>
        <v>509.29999999999995</v>
      </c>
    </row>
    <row r="5" spans="1:24">
      <c r="A5" s="87" t="s">
        <v>166</v>
      </c>
      <c r="B5" t="s">
        <v>164</v>
      </c>
      <c r="C5" t="s">
        <v>164</v>
      </c>
      <c r="D5">
        <v>430</v>
      </c>
      <c r="E5" s="92" t="s">
        <v>167</v>
      </c>
      <c r="F5" t="s">
        <v>162</v>
      </c>
      <c r="G5">
        <f t="shared" si="0"/>
        <v>416.1</v>
      </c>
      <c r="H5" s="29">
        <f t="shared" si="1"/>
        <v>13.899999999999977</v>
      </c>
      <c r="I5" s="89">
        <f t="shared" si="2"/>
        <v>3.2325581395348788</v>
      </c>
      <c r="J5" s="29">
        <v>76.099999999999994</v>
      </c>
      <c r="K5" s="29">
        <v>36.799999999999997</v>
      </c>
      <c r="L5" s="29">
        <v>105.1</v>
      </c>
      <c r="M5" s="29">
        <v>157.9</v>
      </c>
      <c r="N5" s="90">
        <v>40.1</v>
      </c>
      <c r="O5" s="29">
        <v>0.1</v>
      </c>
      <c r="P5" s="91">
        <f>M5</f>
        <v>157.9</v>
      </c>
      <c r="Q5" s="91"/>
      <c r="R5">
        <f t="shared" si="3"/>
        <v>299.79999999999995</v>
      </c>
    </row>
    <row r="6" spans="1:24">
      <c r="A6" s="29" t="s">
        <v>168</v>
      </c>
      <c r="D6">
        <v>4390</v>
      </c>
      <c r="E6" t="s">
        <v>161</v>
      </c>
      <c r="F6" t="s">
        <v>169</v>
      </c>
      <c r="G6">
        <f t="shared" si="0"/>
        <v>4103</v>
      </c>
      <c r="H6">
        <f t="shared" si="1"/>
        <v>287</v>
      </c>
      <c r="I6" s="89">
        <f t="shared" si="2"/>
        <v>6.5375854214123006</v>
      </c>
      <c r="J6" s="29">
        <v>883</v>
      </c>
      <c r="K6" s="29">
        <v>917.6</v>
      </c>
      <c r="L6" s="29">
        <v>1990.9</v>
      </c>
      <c r="M6" s="29">
        <v>223.6</v>
      </c>
      <c r="N6" s="90">
        <v>84.3</v>
      </c>
      <c r="O6" s="29">
        <v>3.6</v>
      </c>
      <c r="P6" s="91"/>
      <c r="Q6" s="91"/>
    </row>
    <row r="7" spans="1:24">
      <c r="A7" s="87" t="s">
        <v>19</v>
      </c>
      <c r="B7" t="s">
        <v>170</v>
      </c>
      <c r="C7" t="s">
        <v>171</v>
      </c>
      <c r="D7">
        <v>3960</v>
      </c>
      <c r="E7" s="88" t="s">
        <v>172</v>
      </c>
      <c r="F7" t="s">
        <v>169</v>
      </c>
      <c r="G7">
        <f t="shared" si="0"/>
        <v>3902.2000000000003</v>
      </c>
      <c r="H7">
        <f t="shared" si="1"/>
        <v>57.799999999999727</v>
      </c>
      <c r="I7" s="89">
        <f t="shared" si="2"/>
        <v>1.4595959595959527</v>
      </c>
      <c r="J7" s="29">
        <v>1011.3</v>
      </c>
      <c r="K7" s="29">
        <v>506.1</v>
      </c>
      <c r="L7" s="93">
        <v>736.7</v>
      </c>
      <c r="M7" s="29">
        <v>1305.7</v>
      </c>
      <c r="N7" s="90">
        <v>332.3</v>
      </c>
      <c r="O7" s="29">
        <v>10.1</v>
      </c>
      <c r="P7" s="29">
        <v>564.4</v>
      </c>
      <c r="Q7" s="29">
        <v>741.3</v>
      </c>
      <c r="R7">
        <f>K7+L7+P7</f>
        <v>1807.2000000000003</v>
      </c>
      <c r="S7" s="94">
        <v>1011.3</v>
      </c>
      <c r="T7" s="94">
        <v>547.70000000000005</v>
      </c>
      <c r="U7" s="94">
        <v>1923.2</v>
      </c>
      <c r="V7" s="94">
        <v>309.7</v>
      </c>
      <c r="W7" s="94">
        <v>106.7</v>
      </c>
      <c r="X7" s="94">
        <v>3.6</v>
      </c>
    </row>
    <row r="8" spans="1:24">
      <c r="A8" t="s">
        <v>20</v>
      </c>
      <c r="B8" t="s">
        <v>173</v>
      </c>
      <c r="C8" t="s">
        <v>174</v>
      </c>
      <c r="D8">
        <v>2130</v>
      </c>
      <c r="E8" t="s">
        <v>161</v>
      </c>
      <c r="F8" t="s">
        <v>169</v>
      </c>
      <c r="G8">
        <f t="shared" ref="G8:G10" si="4">SUM(K8:O8)</f>
        <v>1116.3000000000002</v>
      </c>
      <c r="H8" s="29" t="s">
        <v>175</v>
      </c>
      <c r="I8" s="29" t="s">
        <v>175</v>
      </c>
      <c r="J8" s="29" t="s">
        <v>176</v>
      </c>
      <c r="K8" s="29">
        <v>280.2</v>
      </c>
      <c r="L8" s="29">
        <v>335</v>
      </c>
      <c r="M8" s="29">
        <v>403.6</v>
      </c>
      <c r="N8" s="90">
        <v>92.3</v>
      </c>
      <c r="O8" s="29">
        <v>5.2</v>
      </c>
      <c r="P8" s="95"/>
      <c r="Q8" s="95"/>
    </row>
    <row r="9" spans="1:24">
      <c r="A9" t="s">
        <v>22</v>
      </c>
      <c r="B9" t="s">
        <v>177</v>
      </c>
      <c r="C9" t="s">
        <v>178</v>
      </c>
      <c r="D9">
        <v>2800</v>
      </c>
      <c r="E9" t="s">
        <v>161</v>
      </c>
      <c r="F9" t="s">
        <v>179</v>
      </c>
      <c r="G9">
        <f t="shared" si="4"/>
        <v>1523.4</v>
      </c>
      <c r="H9" s="29" t="s">
        <v>175</v>
      </c>
      <c r="I9" s="29" t="s">
        <v>175</v>
      </c>
      <c r="J9" s="29" t="s">
        <v>176</v>
      </c>
      <c r="K9" s="29">
        <v>357.1</v>
      </c>
      <c r="L9" s="29">
        <v>430.7</v>
      </c>
      <c r="M9" s="29">
        <v>610.1</v>
      </c>
      <c r="N9" s="90">
        <v>120.7</v>
      </c>
      <c r="O9" s="29">
        <v>4.8</v>
      </c>
      <c r="P9" s="95"/>
      <c r="Q9" s="95"/>
    </row>
    <row r="10" spans="1:24">
      <c r="A10" s="87" t="s">
        <v>23</v>
      </c>
      <c r="B10" t="s">
        <v>180</v>
      </c>
      <c r="C10" t="s">
        <v>181</v>
      </c>
      <c r="D10">
        <v>2396</v>
      </c>
      <c r="E10" s="88" t="s">
        <v>165</v>
      </c>
      <c r="F10" t="s">
        <v>169</v>
      </c>
      <c r="G10">
        <f t="shared" si="4"/>
        <v>1717.1000000000001</v>
      </c>
      <c r="H10" s="29" t="s">
        <v>175</v>
      </c>
      <c r="I10" s="29" t="s">
        <v>175</v>
      </c>
      <c r="J10" s="29" t="s">
        <v>176</v>
      </c>
      <c r="K10" s="29">
        <v>141.9</v>
      </c>
      <c r="L10" s="29">
        <v>197</v>
      </c>
      <c r="M10" s="29">
        <v>1182</v>
      </c>
      <c r="N10" s="90">
        <v>188</v>
      </c>
      <c r="O10" s="29">
        <v>8.1999999999999993</v>
      </c>
      <c r="P10" s="29">
        <v>50</v>
      </c>
      <c r="R10">
        <f>K10+L10+P10</f>
        <v>388.9</v>
      </c>
    </row>
    <row r="11" spans="1:24">
      <c r="A11" t="s">
        <v>24</v>
      </c>
      <c r="B11" t="s">
        <v>182</v>
      </c>
      <c r="C11" t="s">
        <v>183</v>
      </c>
      <c r="D11">
        <v>550</v>
      </c>
      <c r="E11" t="s">
        <v>161</v>
      </c>
      <c r="F11" t="s">
        <v>162</v>
      </c>
      <c r="G11" s="29"/>
      <c r="J11" s="29"/>
      <c r="N11" s="96"/>
      <c r="P11" s="91"/>
      <c r="Q11" s="91"/>
    </row>
    <row r="12" spans="1:24">
      <c r="A12" t="s">
        <v>25</v>
      </c>
      <c r="B12" t="s">
        <v>184</v>
      </c>
      <c r="C12" t="s">
        <v>185</v>
      </c>
      <c r="D12">
        <v>2140</v>
      </c>
      <c r="E12" t="s">
        <v>186</v>
      </c>
      <c r="F12" t="s">
        <v>162</v>
      </c>
      <c r="G12">
        <f>SUM(K12:O12)</f>
        <v>1568.6999999999998</v>
      </c>
      <c r="H12" s="29" t="s">
        <v>175</v>
      </c>
      <c r="I12" s="29" t="s">
        <v>175</v>
      </c>
      <c r="J12" s="29" t="s">
        <v>176</v>
      </c>
      <c r="K12" s="29">
        <v>455.2</v>
      </c>
      <c r="L12" s="29">
        <v>715.3</v>
      </c>
      <c r="M12" s="29">
        <v>301.5</v>
      </c>
      <c r="N12" s="90">
        <v>93.6</v>
      </c>
      <c r="O12" s="29">
        <v>3.1</v>
      </c>
      <c r="P12" s="91"/>
      <c r="Q12" s="91"/>
    </row>
    <row r="13" spans="1:24">
      <c r="A13" s="29" t="s">
        <v>187</v>
      </c>
      <c r="B13" t="s">
        <v>188</v>
      </c>
      <c r="C13" t="s">
        <v>189</v>
      </c>
      <c r="D13">
        <v>3800</v>
      </c>
      <c r="E13" t="s">
        <v>161</v>
      </c>
      <c r="F13" t="s">
        <v>179</v>
      </c>
      <c r="G13">
        <f>SUM(K22:O22)</f>
        <v>1502.7999999999997</v>
      </c>
      <c r="H13" s="29" t="s">
        <v>175</v>
      </c>
      <c r="I13" s="29" t="s">
        <v>175</v>
      </c>
      <c r="J13" s="29" t="s">
        <v>176</v>
      </c>
      <c r="K13">
        <v>458.1</v>
      </c>
      <c r="L13">
        <v>937.1</v>
      </c>
      <c r="M13">
        <v>776.59999999999991</v>
      </c>
      <c r="N13" s="96">
        <v>180.5</v>
      </c>
      <c r="O13">
        <v>7.8</v>
      </c>
      <c r="P13" s="91"/>
      <c r="Q13" s="91"/>
    </row>
    <row r="14" spans="1:24">
      <c r="A14" s="9" t="s">
        <v>190</v>
      </c>
      <c r="B14" t="s">
        <v>191</v>
      </c>
      <c r="C14" t="s">
        <v>192</v>
      </c>
      <c r="D14">
        <v>8150</v>
      </c>
      <c r="E14" s="88" t="s">
        <v>193</v>
      </c>
      <c r="F14" t="s">
        <v>179</v>
      </c>
      <c r="G14">
        <f t="shared" ref="G14:G15" si="5">SUM(K14:O14)</f>
        <v>8394.7999999999993</v>
      </c>
      <c r="H14">
        <f t="shared" ref="H14:H15" si="6">ABS(D14-G14)</f>
        <v>244.79999999999927</v>
      </c>
      <c r="I14" s="89">
        <f t="shared" ref="I14:I16" si="7">H14/D14*100</f>
        <v>3.0036809815950831</v>
      </c>
      <c r="K14">
        <v>35.4</v>
      </c>
      <c r="L14">
        <v>6862.5</v>
      </c>
      <c r="M14">
        <v>997.6</v>
      </c>
      <c r="N14" s="96">
        <v>192.7</v>
      </c>
      <c r="O14">
        <f>SUM(N18:N22)</f>
        <v>306.60000000000002</v>
      </c>
      <c r="P14" s="29">
        <v>50</v>
      </c>
      <c r="R14">
        <f>K14+L14+P14</f>
        <v>6947.9</v>
      </c>
    </row>
    <row r="15" spans="1:24">
      <c r="A15" t="s">
        <v>28</v>
      </c>
      <c r="B15" t="s">
        <v>196</v>
      </c>
      <c r="C15" t="s">
        <v>197</v>
      </c>
      <c r="D15">
        <v>2130</v>
      </c>
      <c r="E15" t="s">
        <v>161</v>
      </c>
      <c r="F15" t="s">
        <v>162</v>
      </c>
      <c r="G15">
        <f t="shared" si="5"/>
        <v>1695.1000000000004</v>
      </c>
      <c r="H15">
        <f t="shared" si="6"/>
        <v>434.89999999999964</v>
      </c>
      <c r="I15" s="89">
        <f t="shared" si="7"/>
        <v>20.417840375586838</v>
      </c>
      <c r="J15" s="29">
        <v>389.8</v>
      </c>
      <c r="K15" s="29">
        <v>172.9</v>
      </c>
      <c r="L15" s="29">
        <v>1354.9</v>
      </c>
      <c r="M15" s="29">
        <v>120.5</v>
      </c>
      <c r="N15" s="90">
        <v>46.4</v>
      </c>
      <c r="O15" s="29">
        <v>0.4</v>
      </c>
      <c r="P15" s="91"/>
      <c r="Q15" s="91"/>
    </row>
    <row r="16" spans="1:24">
      <c r="A16" t="s">
        <v>29</v>
      </c>
      <c r="B16" s="100" t="s">
        <v>201</v>
      </c>
      <c r="C16" s="100" t="s">
        <v>201</v>
      </c>
      <c r="D16">
        <v>1690</v>
      </c>
      <c r="E16" t="s">
        <v>204</v>
      </c>
      <c r="F16" t="s">
        <v>162</v>
      </c>
      <c r="G16">
        <f>SUM(J16:O16)</f>
        <v>1660.7</v>
      </c>
      <c r="H16">
        <f>D16-G16</f>
        <v>29.299999999999955</v>
      </c>
      <c r="I16" s="89">
        <f t="shared" si="7"/>
        <v>1.7337278106508849</v>
      </c>
      <c r="J16" s="29">
        <v>205.3</v>
      </c>
      <c r="K16" s="103">
        <v>93.8</v>
      </c>
      <c r="L16" s="103">
        <v>1182.8</v>
      </c>
      <c r="M16" s="103">
        <v>128.5</v>
      </c>
      <c r="N16" s="105">
        <v>50.2</v>
      </c>
      <c r="O16" s="103">
        <v>0.1</v>
      </c>
      <c r="P16" s="91"/>
      <c r="Q16" s="91"/>
    </row>
    <row r="17" spans="1:18">
      <c r="A17" s="9" t="s">
        <v>207</v>
      </c>
      <c r="B17" t="s">
        <v>208</v>
      </c>
      <c r="C17" t="s">
        <v>209</v>
      </c>
      <c r="D17">
        <v>5620</v>
      </c>
      <c r="E17" s="88" t="s">
        <v>161</v>
      </c>
      <c r="F17" t="s">
        <v>179</v>
      </c>
      <c r="G17">
        <f>SUM(K17:O17)</f>
        <v>3541.9</v>
      </c>
      <c r="H17" s="29" t="s">
        <v>175</v>
      </c>
      <c r="I17" s="29" t="s">
        <v>175</v>
      </c>
      <c r="J17" s="29" t="s">
        <v>176</v>
      </c>
      <c r="K17" s="106">
        <f t="shared" ref="K17:O17" si="8">SUM(K25:K26)</f>
        <v>439.29999999999995</v>
      </c>
      <c r="L17" s="106">
        <f t="shared" si="8"/>
        <v>1332.8</v>
      </c>
      <c r="M17" s="106">
        <f t="shared" si="8"/>
        <v>1278.8000000000002</v>
      </c>
      <c r="N17" s="107">
        <f t="shared" si="8"/>
        <v>464.7</v>
      </c>
      <c r="O17" s="106">
        <f t="shared" si="8"/>
        <v>26.3</v>
      </c>
      <c r="P17" s="29">
        <v>25</v>
      </c>
      <c r="R17">
        <f>K17+L17+P17</f>
        <v>1797.1</v>
      </c>
    </row>
    <row r="18" spans="1:18">
      <c r="G18">
        <f>SUM(G3:G17)</f>
        <v>32077.3</v>
      </c>
      <c r="K18" s="108"/>
      <c r="L18" s="108"/>
      <c r="M18" s="108"/>
      <c r="N18" s="108"/>
      <c r="O18" s="108"/>
    </row>
    <row r="19" spans="1:18">
      <c r="B19" s="29" t="s">
        <v>214</v>
      </c>
      <c r="K19" s="108"/>
      <c r="L19" s="108"/>
      <c r="M19" s="108"/>
      <c r="N19" s="108"/>
      <c r="O19" s="108"/>
    </row>
    <row r="20" spans="1:18">
      <c r="B20" s="29" t="s">
        <v>215</v>
      </c>
      <c r="K20" s="108"/>
      <c r="L20" s="108"/>
      <c r="M20" s="108"/>
      <c r="N20" s="108"/>
      <c r="O20" s="108"/>
    </row>
    <row r="21" spans="1:18">
      <c r="B21" s="111" t="s">
        <v>216</v>
      </c>
      <c r="H21" s="29" t="s">
        <v>217</v>
      </c>
      <c r="I21" s="29"/>
      <c r="J21" s="29" t="s">
        <v>175</v>
      </c>
      <c r="K21" s="108">
        <f t="shared" ref="K21:O21" si="9">SUM(K22:K23)</f>
        <v>458.1</v>
      </c>
      <c r="L21" s="108">
        <f t="shared" si="9"/>
        <v>937.1</v>
      </c>
      <c r="M21" s="108">
        <f t="shared" si="9"/>
        <v>776.59999999999991</v>
      </c>
      <c r="N21" s="108">
        <f t="shared" si="9"/>
        <v>180.5</v>
      </c>
      <c r="O21" s="108">
        <f t="shared" si="9"/>
        <v>7.8</v>
      </c>
    </row>
    <row r="22" spans="1:18">
      <c r="H22" s="29" t="s">
        <v>26</v>
      </c>
      <c r="I22" s="29"/>
      <c r="J22" s="29" t="s">
        <v>175</v>
      </c>
      <c r="K22" s="103">
        <v>318</v>
      </c>
      <c r="L22" s="103">
        <v>447.8</v>
      </c>
      <c r="M22" s="103">
        <v>604.4</v>
      </c>
      <c r="N22" s="103">
        <v>126.1</v>
      </c>
      <c r="O22" s="103">
        <v>6.5</v>
      </c>
    </row>
    <row r="23" spans="1:18">
      <c r="H23" s="29" t="s">
        <v>27</v>
      </c>
      <c r="I23" s="29"/>
      <c r="J23" s="29">
        <v>421</v>
      </c>
      <c r="K23" s="103">
        <v>140.1</v>
      </c>
      <c r="L23" s="103">
        <v>489.3</v>
      </c>
      <c r="M23" s="103">
        <v>172.2</v>
      </c>
      <c r="N23" s="103">
        <v>54.4</v>
      </c>
      <c r="O23" s="103">
        <v>1.3</v>
      </c>
    </row>
    <row r="24" spans="1:18">
      <c r="K24" s="103"/>
      <c r="L24" s="108"/>
      <c r="M24" s="108"/>
      <c r="N24" s="108"/>
      <c r="O24" s="108"/>
    </row>
    <row r="25" spans="1:18">
      <c r="H25" s="29" t="s">
        <v>30</v>
      </c>
      <c r="I25" s="29"/>
      <c r="J25" s="29">
        <v>24.2</v>
      </c>
      <c r="K25" s="103">
        <v>239.2</v>
      </c>
      <c r="L25" s="103">
        <v>652.29999999999995</v>
      </c>
      <c r="M25" s="103">
        <v>845.2</v>
      </c>
      <c r="N25" s="103">
        <v>262</v>
      </c>
      <c r="O25" s="103">
        <v>10</v>
      </c>
    </row>
    <row r="26" spans="1:18">
      <c r="H26" s="29" t="s">
        <v>31</v>
      </c>
      <c r="I26" s="29"/>
      <c r="J26" s="29" t="s">
        <v>175</v>
      </c>
      <c r="K26" s="103">
        <v>200.1</v>
      </c>
      <c r="L26" s="103">
        <v>680.5</v>
      </c>
      <c r="M26" s="103">
        <v>433.6</v>
      </c>
      <c r="N26" s="103">
        <v>202.7</v>
      </c>
      <c r="O26" s="103">
        <v>16.3</v>
      </c>
    </row>
    <row r="27" spans="1:18">
      <c r="K27" s="103"/>
      <c r="L27" s="108"/>
      <c r="M27" s="108"/>
      <c r="N27" s="108"/>
      <c r="O27" s="108"/>
    </row>
    <row r="28" spans="1:18">
      <c r="K28" s="29"/>
    </row>
    <row r="29" spans="1:18">
      <c r="H29" s="29" t="s">
        <v>15</v>
      </c>
      <c r="J29" s="29">
        <v>263.39999999999998</v>
      </c>
      <c r="K29" s="29">
        <v>178.4</v>
      </c>
      <c r="L29" s="29">
        <v>1104.9000000000001</v>
      </c>
      <c r="M29" s="29">
        <v>96.6</v>
      </c>
      <c r="N29" s="29">
        <v>30.5</v>
      </c>
      <c r="O29" s="29">
        <v>0.9</v>
      </c>
    </row>
    <row r="30" spans="1:18">
      <c r="H30" s="29" t="s">
        <v>16</v>
      </c>
      <c r="J30" s="29">
        <v>619.6</v>
      </c>
      <c r="K30" s="29">
        <v>739.2</v>
      </c>
      <c r="L30" s="29">
        <v>886</v>
      </c>
      <c r="M30" s="29">
        <v>127</v>
      </c>
      <c r="N30" s="29">
        <v>53.8</v>
      </c>
      <c r="O30" s="29">
        <v>2.7</v>
      </c>
    </row>
    <row r="31" spans="1:18">
      <c r="J31">
        <f t="shared" ref="J31:O31" si="10">J29+J30</f>
        <v>883</v>
      </c>
      <c r="K31">
        <f t="shared" si="10"/>
        <v>917.6</v>
      </c>
      <c r="L31">
        <f t="shared" si="10"/>
        <v>1990.9</v>
      </c>
      <c r="M31">
        <f t="shared" si="10"/>
        <v>223.6</v>
      </c>
      <c r="N31">
        <f t="shared" si="10"/>
        <v>84.3</v>
      </c>
      <c r="O31">
        <f t="shared" si="10"/>
        <v>3.6</v>
      </c>
    </row>
    <row r="34" spans="16:18">
      <c r="R34">
        <f>1305.7-R35</f>
        <v>564.40000000000009</v>
      </c>
    </row>
    <row r="35" spans="16:18">
      <c r="P35" s="29"/>
      <c r="Q35" s="29"/>
      <c r="R35" s="29">
        <v>741.3</v>
      </c>
    </row>
    <row r="37" spans="16:18">
      <c r="R37">
        <f>1242.8+R34</f>
        <v>1807.2</v>
      </c>
    </row>
  </sheetData>
  <hyperlinks>
    <hyperlink ref="B21" r:id="rId1" xr:uid="{00000000-0004-0000-1500-000000000000}"/>
  </hyperlinks>
  <pageMargins left="0.75" right="0.75" top="1" bottom="1" header="0" footer="0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2:AC60"/>
  <sheetViews>
    <sheetView workbookViewId="0">
      <selection activeCell="B37" sqref="B37:B43"/>
    </sheetView>
  </sheetViews>
  <sheetFormatPr baseColWidth="10" defaultColWidth="11.1640625" defaultRowHeight="15" customHeight="1"/>
  <cols>
    <col min="2" max="2" width="27.83203125" customWidth="1"/>
    <col min="3" max="3" width="14.5" customWidth="1"/>
    <col min="4" max="4" width="13.5" customWidth="1"/>
    <col min="14" max="14" width="15.33203125" customWidth="1"/>
  </cols>
  <sheetData>
    <row r="2" spans="1:29" ht="16">
      <c r="A2" s="92" t="s">
        <v>194</v>
      </c>
      <c r="B2" s="92" t="s">
        <v>195</v>
      </c>
      <c r="C2" s="88" t="s">
        <v>2</v>
      </c>
      <c r="D2" s="88"/>
      <c r="E2" s="92"/>
      <c r="F2" s="88" t="s">
        <v>4</v>
      </c>
      <c r="G2" s="88"/>
      <c r="H2" s="88"/>
      <c r="I2" s="88" t="s">
        <v>5</v>
      </c>
      <c r="J2" s="88"/>
      <c r="K2" s="88"/>
      <c r="L2" s="88" t="s">
        <v>6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ht="16">
      <c r="A3" s="97"/>
      <c r="B3" s="97"/>
      <c r="C3" s="98" t="s">
        <v>198</v>
      </c>
      <c r="D3" s="98" t="s">
        <v>199</v>
      </c>
      <c r="E3" s="99" t="s">
        <v>200</v>
      </c>
      <c r="F3" s="98" t="s">
        <v>198</v>
      </c>
      <c r="G3" s="98" t="s">
        <v>202</v>
      </c>
      <c r="H3" s="99" t="s">
        <v>200</v>
      </c>
      <c r="I3" s="98" t="s">
        <v>198</v>
      </c>
      <c r="J3" s="98" t="s">
        <v>199</v>
      </c>
      <c r="K3" s="98" t="s">
        <v>200</v>
      </c>
      <c r="L3" s="98" t="s">
        <v>198</v>
      </c>
      <c r="M3" s="98" t="s">
        <v>199</v>
      </c>
      <c r="N3" s="98" t="s">
        <v>200</v>
      </c>
      <c r="O3" s="101" t="s">
        <v>203</v>
      </c>
    </row>
    <row r="4" spans="1:29" ht="16">
      <c r="A4" s="9" t="s">
        <v>205</v>
      </c>
      <c r="B4" s="9" t="s">
        <v>206</v>
      </c>
      <c r="C4" s="9">
        <v>18</v>
      </c>
      <c r="D4" s="9">
        <v>36.5</v>
      </c>
      <c r="E4" s="102">
        <f t="shared" ref="E4:E18" si="0">(C4/D4)*1000</f>
        <v>493.15068493150682</v>
      </c>
      <c r="F4" s="9">
        <v>11</v>
      </c>
      <c r="G4" s="9">
        <v>46.7</v>
      </c>
      <c r="H4" s="102">
        <f t="shared" ref="H4:H18" si="1">(F4/G4)*1000</f>
        <v>235.5460385438972</v>
      </c>
      <c r="I4" s="87"/>
      <c r="J4" s="104">
        <v>68.599999999999994</v>
      </c>
      <c r="K4" s="87">
        <f t="shared" ref="K4:K18" si="2">(I4/J4)*1000</f>
        <v>0</v>
      </c>
      <c r="L4" s="87"/>
      <c r="M4" s="87"/>
      <c r="N4" s="87"/>
      <c r="O4" s="101">
        <f t="shared" ref="O4:O18" si="3">((C4+F4)/(D4+G4))*1000</f>
        <v>348.55769230769226</v>
      </c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ht="16">
      <c r="A5" s="9" t="s">
        <v>210</v>
      </c>
      <c r="B5" s="9" t="s">
        <v>211</v>
      </c>
      <c r="C5" s="9">
        <v>23</v>
      </c>
      <c r="D5" s="9">
        <v>21</v>
      </c>
      <c r="E5" s="102">
        <f t="shared" si="0"/>
        <v>1095.2380952380954</v>
      </c>
      <c r="F5" s="9">
        <v>68</v>
      </c>
      <c r="G5" s="9">
        <v>290.7</v>
      </c>
      <c r="H5" s="102">
        <f t="shared" si="1"/>
        <v>233.91812865497079</v>
      </c>
      <c r="I5" s="9"/>
      <c r="J5" s="104"/>
      <c r="K5" s="87" t="e">
        <f t="shared" si="2"/>
        <v>#DIV/0!</v>
      </c>
      <c r="L5" s="87"/>
      <c r="M5" s="87"/>
      <c r="N5" s="87"/>
      <c r="O5" s="101">
        <f t="shared" si="3"/>
        <v>291.94738530638438</v>
      </c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</row>
    <row r="6" spans="1:29" ht="16">
      <c r="A6" s="9" t="s">
        <v>212</v>
      </c>
      <c r="B6" s="9" t="s">
        <v>167</v>
      </c>
      <c r="C6" s="9">
        <v>2</v>
      </c>
      <c r="D6" s="9">
        <v>36.799999999999997</v>
      </c>
      <c r="E6" s="102">
        <f t="shared" si="0"/>
        <v>54.34782608695653</v>
      </c>
      <c r="F6" s="9">
        <v>7</v>
      </c>
      <c r="G6" s="9">
        <v>105.1</v>
      </c>
      <c r="H6" s="102">
        <f t="shared" si="1"/>
        <v>66.603235014272116</v>
      </c>
      <c r="I6" s="87"/>
      <c r="J6" s="104">
        <v>157.9</v>
      </c>
      <c r="K6" s="87">
        <f t="shared" si="2"/>
        <v>0</v>
      </c>
      <c r="L6" s="87"/>
      <c r="M6" s="87"/>
      <c r="N6" s="87"/>
      <c r="O6" s="101">
        <f t="shared" si="3"/>
        <v>63.42494714587739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</row>
    <row r="7" spans="1:29" ht="16">
      <c r="A7" s="109" t="s">
        <v>213</v>
      </c>
      <c r="B7" s="110" t="s">
        <v>161</v>
      </c>
      <c r="C7" s="109"/>
      <c r="D7" s="109">
        <v>917.6</v>
      </c>
      <c r="E7" s="102">
        <f t="shared" si="0"/>
        <v>0</v>
      </c>
      <c r="F7" s="109"/>
      <c r="G7" s="109">
        <v>1990.9</v>
      </c>
      <c r="H7" s="102">
        <f t="shared" si="1"/>
        <v>0</v>
      </c>
      <c r="I7" s="110"/>
      <c r="J7" s="112">
        <v>223.6</v>
      </c>
      <c r="K7" s="110">
        <f t="shared" si="2"/>
        <v>0</v>
      </c>
      <c r="L7" s="110"/>
      <c r="M7" s="110"/>
      <c r="N7" s="110"/>
      <c r="O7" s="101">
        <f t="shared" si="3"/>
        <v>0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</row>
    <row r="8" spans="1:29" ht="14.25" customHeight="1">
      <c r="A8" s="9" t="s">
        <v>218</v>
      </c>
      <c r="B8" s="87" t="s">
        <v>172</v>
      </c>
      <c r="C8" s="9">
        <v>2</v>
      </c>
      <c r="D8" s="9">
        <v>547.70000000000005</v>
      </c>
      <c r="E8" s="102">
        <f t="shared" si="0"/>
        <v>3.6516341062625521</v>
      </c>
      <c r="F8" s="9">
        <v>500</v>
      </c>
      <c r="G8" s="9">
        <v>1923.2</v>
      </c>
      <c r="H8" s="102">
        <f t="shared" si="1"/>
        <v>259.98336106489182</v>
      </c>
      <c r="I8" s="87"/>
      <c r="J8" s="104">
        <v>309.7</v>
      </c>
      <c r="K8" s="87">
        <f t="shared" si="2"/>
        <v>0</v>
      </c>
      <c r="L8" s="87"/>
      <c r="M8" s="87"/>
      <c r="N8" s="87"/>
      <c r="O8" s="101">
        <f t="shared" si="3"/>
        <v>203.16483872273261</v>
      </c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</row>
    <row r="9" spans="1:29" ht="16">
      <c r="A9" s="109" t="s">
        <v>219</v>
      </c>
      <c r="B9" s="110" t="s">
        <v>161</v>
      </c>
      <c r="C9" s="109"/>
      <c r="D9" s="109">
        <v>280.2</v>
      </c>
      <c r="E9" s="102">
        <f t="shared" si="0"/>
        <v>0</v>
      </c>
      <c r="F9" s="109"/>
      <c r="G9" s="109">
        <v>335</v>
      </c>
      <c r="H9" s="102">
        <f t="shared" si="1"/>
        <v>0</v>
      </c>
      <c r="I9" s="110"/>
      <c r="J9" s="112">
        <v>403.6</v>
      </c>
      <c r="K9" s="110">
        <f t="shared" si="2"/>
        <v>0</v>
      </c>
      <c r="L9" s="110"/>
      <c r="M9" s="110"/>
      <c r="N9" s="110"/>
      <c r="O9" s="101">
        <f t="shared" si="3"/>
        <v>0</v>
      </c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6">
      <c r="A10" s="109" t="s">
        <v>220</v>
      </c>
      <c r="B10" s="110" t="s">
        <v>161</v>
      </c>
      <c r="C10" s="109"/>
      <c r="D10" s="109">
        <v>357.1</v>
      </c>
      <c r="E10" s="102">
        <f t="shared" si="0"/>
        <v>0</v>
      </c>
      <c r="F10" s="109"/>
      <c r="G10" s="109">
        <v>430.7</v>
      </c>
      <c r="H10" s="102">
        <f t="shared" si="1"/>
        <v>0</v>
      </c>
      <c r="I10" s="110"/>
      <c r="J10" s="112">
        <v>610.1</v>
      </c>
      <c r="K10" s="110">
        <f t="shared" si="2"/>
        <v>0</v>
      </c>
      <c r="L10" s="110"/>
      <c r="M10" s="110"/>
      <c r="N10" s="110"/>
      <c r="O10" s="101">
        <f t="shared" si="3"/>
        <v>0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</row>
    <row r="11" spans="1:29" ht="16">
      <c r="A11" s="9" t="s">
        <v>221</v>
      </c>
      <c r="B11" s="87" t="s">
        <v>165</v>
      </c>
      <c r="C11" s="9">
        <v>15</v>
      </c>
      <c r="D11" s="9">
        <v>141.9</v>
      </c>
      <c r="E11" s="102">
        <f t="shared" si="0"/>
        <v>105.70824524312896</v>
      </c>
      <c r="F11" s="9">
        <v>111</v>
      </c>
      <c r="G11" s="9">
        <v>197</v>
      </c>
      <c r="H11" s="102">
        <f t="shared" si="1"/>
        <v>563.45177664974619</v>
      </c>
      <c r="I11" s="87"/>
      <c r="J11" s="104">
        <v>1182</v>
      </c>
      <c r="K11" s="87">
        <f t="shared" si="2"/>
        <v>0</v>
      </c>
      <c r="L11" s="87"/>
      <c r="M11" s="87"/>
      <c r="N11" s="87"/>
      <c r="O11" s="101">
        <f t="shared" si="3"/>
        <v>371.79108881676018</v>
      </c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ht="16">
      <c r="A12" s="109" t="s">
        <v>222</v>
      </c>
      <c r="B12" s="110" t="s">
        <v>161</v>
      </c>
      <c r="C12" s="110"/>
      <c r="D12" s="110"/>
      <c r="E12" s="102" t="e">
        <f t="shared" si="0"/>
        <v>#DIV/0!</v>
      </c>
      <c r="F12" s="110"/>
      <c r="G12" s="110"/>
      <c r="H12" s="102" t="e">
        <f t="shared" si="1"/>
        <v>#DIV/0!</v>
      </c>
      <c r="I12" s="110"/>
      <c r="J12" s="112"/>
      <c r="K12" s="110" t="e">
        <f t="shared" si="2"/>
        <v>#DIV/0!</v>
      </c>
      <c r="L12" s="110"/>
      <c r="M12" s="110"/>
      <c r="N12" s="110"/>
      <c r="O12" s="101" t="e">
        <f t="shared" si="3"/>
        <v>#DIV/0!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</row>
    <row r="13" spans="1:29" ht="16">
      <c r="A13" s="109" t="s">
        <v>223</v>
      </c>
      <c r="B13" s="110" t="s">
        <v>186</v>
      </c>
      <c r="C13" s="110"/>
      <c r="D13" s="109">
        <v>455.2</v>
      </c>
      <c r="E13" s="102">
        <f t="shared" si="0"/>
        <v>0</v>
      </c>
      <c r="F13" s="110"/>
      <c r="G13" s="109">
        <v>715.3</v>
      </c>
      <c r="H13" s="102">
        <f t="shared" si="1"/>
        <v>0</v>
      </c>
      <c r="I13" s="110"/>
      <c r="J13" s="112">
        <v>301.5</v>
      </c>
      <c r="K13" s="110">
        <f t="shared" si="2"/>
        <v>0</v>
      </c>
      <c r="L13" s="110"/>
      <c r="M13" s="110"/>
      <c r="N13" s="110"/>
      <c r="O13" s="101">
        <f t="shared" si="3"/>
        <v>0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</row>
    <row r="14" spans="1:29" ht="16">
      <c r="A14" s="109" t="s">
        <v>224</v>
      </c>
      <c r="B14" s="110" t="s">
        <v>161</v>
      </c>
      <c r="C14" s="110"/>
      <c r="D14" s="109">
        <v>458.1</v>
      </c>
      <c r="E14" s="102">
        <f t="shared" si="0"/>
        <v>0</v>
      </c>
      <c r="F14" s="110"/>
      <c r="G14" s="109">
        <v>937.1</v>
      </c>
      <c r="H14" s="102">
        <f t="shared" si="1"/>
        <v>0</v>
      </c>
      <c r="I14" s="110"/>
      <c r="J14" s="112">
        <v>776.6</v>
      </c>
      <c r="K14" s="110">
        <f t="shared" si="2"/>
        <v>0</v>
      </c>
      <c r="L14" s="110"/>
      <c r="M14" s="110"/>
      <c r="N14" s="110"/>
      <c r="O14" s="101">
        <f t="shared" si="3"/>
        <v>0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</row>
    <row r="15" spans="1:29" ht="16">
      <c r="A15" s="9" t="s">
        <v>225</v>
      </c>
      <c r="B15" s="87" t="s">
        <v>193</v>
      </c>
      <c r="C15" s="9">
        <v>13</v>
      </c>
      <c r="D15" s="9">
        <v>35.4</v>
      </c>
      <c r="E15" s="102">
        <f t="shared" si="0"/>
        <v>367.23163841807911</v>
      </c>
      <c r="F15" s="9">
        <v>300</v>
      </c>
      <c r="G15" s="9">
        <v>6862.5</v>
      </c>
      <c r="H15" s="102">
        <f t="shared" si="1"/>
        <v>43.715846994535518</v>
      </c>
      <c r="I15" s="87"/>
      <c r="J15" s="104">
        <v>997.6</v>
      </c>
      <c r="K15" s="87">
        <f t="shared" si="2"/>
        <v>0</v>
      </c>
      <c r="L15" s="87"/>
      <c r="M15" s="87"/>
      <c r="N15" s="87"/>
      <c r="O15" s="101">
        <f t="shared" si="3"/>
        <v>45.376128966786993</v>
      </c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</row>
    <row r="16" spans="1:29" ht="16">
      <c r="A16" s="109" t="s">
        <v>226</v>
      </c>
      <c r="B16" s="110" t="s">
        <v>161</v>
      </c>
      <c r="C16" s="110"/>
      <c r="D16" s="109">
        <v>172.9</v>
      </c>
      <c r="E16" s="102">
        <f t="shared" si="0"/>
        <v>0</v>
      </c>
      <c r="F16" s="110"/>
      <c r="G16" s="109">
        <v>1354.9</v>
      </c>
      <c r="H16" s="102">
        <f t="shared" si="1"/>
        <v>0</v>
      </c>
      <c r="I16" s="110"/>
      <c r="J16" s="112">
        <v>120.5</v>
      </c>
      <c r="K16" s="110">
        <f t="shared" si="2"/>
        <v>0</v>
      </c>
      <c r="L16" s="110"/>
      <c r="M16" s="110"/>
      <c r="N16" s="110"/>
      <c r="O16" s="101">
        <f t="shared" si="3"/>
        <v>0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</row>
    <row r="17" spans="1:29" ht="16">
      <c r="A17" s="109" t="s">
        <v>227</v>
      </c>
      <c r="B17" s="110" t="s">
        <v>204</v>
      </c>
      <c r="C17" s="110"/>
      <c r="D17" s="109">
        <v>93.8</v>
      </c>
      <c r="E17" s="102">
        <f t="shared" si="0"/>
        <v>0</v>
      </c>
      <c r="F17" s="110"/>
      <c r="G17" s="109">
        <v>1182.8</v>
      </c>
      <c r="H17" s="102">
        <f t="shared" si="1"/>
        <v>0</v>
      </c>
      <c r="I17" s="110"/>
      <c r="J17" s="112">
        <v>128.5</v>
      </c>
      <c r="K17" s="110">
        <f t="shared" si="2"/>
        <v>0</v>
      </c>
      <c r="L17" s="110"/>
      <c r="M17" s="110"/>
      <c r="N17" s="110"/>
      <c r="O17" s="101">
        <f t="shared" si="3"/>
        <v>0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</row>
    <row r="18" spans="1:29" ht="16">
      <c r="A18" s="113" t="s">
        <v>228</v>
      </c>
      <c r="B18" s="114" t="s">
        <v>161</v>
      </c>
      <c r="C18" s="114">
        <f>27+37</f>
        <v>64</v>
      </c>
      <c r="D18" s="113">
        <v>838.8</v>
      </c>
      <c r="E18" s="115">
        <f t="shared" si="0"/>
        <v>76.299475441106352</v>
      </c>
      <c r="F18" s="113">
        <v>46</v>
      </c>
      <c r="G18" s="113">
        <v>1433.3</v>
      </c>
      <c r="H18" s="115">
        <f t="shared" si="1"/>
        <v>32.09376962254936</v>
      </c>
      <c r="I18" s="114"/>
      <c r="J18" s="116">
        <v>1054.3</v>
      </c>
      <c r="K18" s="114">
        <f t="shared" si="2"/>
        <v>0</v>
      </c>
      <c r="L18" s="114"/>
      <c r="M18" s="114"/>
      <c r="N18" s="114"/>
      <c r="O18" s="101">
        <f t="shared" si="3"/>
        <v>48.413362087936271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ht="16">
      <c r="O19" s="88"/>
    </row>
    <row r="22" spans="1:29" ht="34">
      <c r="C22" s="117" t="s">
        <v>229</v>
      </c>
      <c r="D22" s="117" t="s">
        <v>230</v>
      </c>
      <c r="E22" s="117" t="s">
        <v>231</v>
      </c>
      <c r="F22" s="117" t="s">
        <v>232</v>
      </c>
      <c r="G22" s="92" t="s">
        <v>233</v>
      </c>
      <c r="H22" s="117" t="s">
        <v>234</v>
      </c>
      <c r="I22" s="117" t="s">
        <v>235</v>
      </c>
      <c r="J22" s="29" t="s">
        <v>137</v>
      </c>
    </row>
    <row r="23" spans="1:29" ht="16">
      <c r="A23" s="9" t="s">
        <v>205</v>
      </c>
      <c r="B23" s="9" t="s">
        <v>206</v>
      </c>
      <c r="C23" s="118">
        <v>246.7</v>
      </c>
      <c r="D23" s="119">
        <v>151.80000000000001</v>
      </c>
      <c r="E23" s="29">
        <v>16</v>
      </c>
      <c r="F23" s="29">
        <v>12</v>
      </c>
      <c r="G23" s="120">
        <v>40</v>
      </c>
      <c r="H23" s="17">
        <f>E23+F23+G23</f>
        <v>68</v>
      </c>
      <c r="I23" s="121">
        <f>(H23/D23)*1000</f>
        <v>447.95783926218706</v>
      </c>
      <c r="J23" s="29">
        <v>2</v>
      </c>
    </row>
    <row r="24" spans="1:29" ht="16">
      <c r="A24" s="9" t="s">
        <v>210</v>
      </c>
      <c r="B24" s="9" t="s">
        <v>211</v>
      </c>
      <c r="C24" s="118">
        <v>688.50000000000011</v>
      </c>
      <c r="D24" s="119">
        <v>509.3</v>
      </c>
      <c r="E24" s="94">
        <v>23</v>
      </c>
      <c r="F24" s="89">
        <v>82</v>
      </c>
      <c r="G24" s="120">
        <v>60</v>
      </c>
      <c r="H24" s="122">
        <f t="shared" ref="H24:H29" si="4">E24+F24+G24</f>
        <v>165</v>
      </c>
      <c r="I24" s="121">
        <f t="shared" ref="I24:I29" si="5">(H24/D24)*1000</f>
        <v>323.97408207343415</v>
      </c>
      <c r="J24" s="29">
        <v>3</v>
      </c>
    </row>
    <row r="25" spans="1:29" ht="16">
      <c r="A25" s="9" t="s">
        <v>212</v>
      </c>
      <c r="B25" s="9" t="s">
        <v>167</v>
      </c>
      <c r="C25" s="118">
        <v>416.1</v>
      </c>
      <c r="D25" s="119">
        <v>299.79999999999995</v>
      </c>
      <c r="E25" s="29">
        <v>0</v>
      </c>
      <c r="F25" s="29">
        <v>7</v>
      </c>
      <c r="G25" s="120">
        <v>48</v>
      </c>
      <c r="H25" s="17">
        <f t="shared" si="4"/>
        <v>55</v>
      </c>
      <c r="I25" s="121">
        <f t="shared" si="5"/>
        <v>183.45563709139429</v>
      </c>
      <c r="J25" s="29">
        <v>6</v>
      </c>
    </row>
    <row r="26" spans="1:29" ht="16">
      <c r="A26" s="9" t="s">
        <v>218</v>
      </c>
      <c r="B26" s="87" t="s">
        <v>172</v>
      </c>
      <c r="C26" s="118">
        <v>3902.2000000000003</v>
      </c>
      <c r="D26" s="119">
        <v>1807.2</v>
      </c>
      <c r="E26" s="29">
        <v>2</v>
      </c>
      <c r="F26" s="29">
        <v>293</v>
      </c>
      <c r="G26" s="120">
        <v>144</v>
      </c>
      <c r="H26" s="17">
        <f t="shared" si="4"/>
        <v>439</v>
      </c>
      <c r="I26" s="121">
        <f t="shared" si="5"/>
        <v>242.91722000885346</v>
      </c>
      <c r="J26" s="29">
        <v>4</v>
      </c>
    </row>
    <row r="27" spans="1:29" ht="16">
      <c r="A27" s="9" t="s">
        <v>221</v>
      </c>
      <c r="B27" s="87" t="s">
        <v>165</v>
      </c>
      <c r="C27" s="118">
        <v>1717.1000000000001</v>
      </c>
      <c r="D27" s="119">
        <v>388.9</v>
      </c>
      <c r="E27" s="29">
        <v>12</v>
      </c>
      <c r="F27" s="29">
        <v>93</v>
      </c>
      <c r="G27" s="126">
        <v>163</v>
      </c>
      <c r="H27" s="17">
        <f t="shared" si="4"/>
        <v>268</v>
      </c>
      <c r="I27" s="121">
        <f>(H27/D27)*1000</f>
        <v>689.1231679094883</v>
      </c>
      <c r="J27" s="29">
        <v>1</v>
      </c>
    </row>
    <row r="28" spans="1:29" ht="16">
      <c r="A28" s="9" t="s">
        <v>225</v>
      </c>
      <c r="B28" s="87" t="s">
        <v>193</v>
      </c>
      <c r="C28" s="118">
        <v>8394.7999999999993</v>
      </c>
      <c r="D28" s="119">
        <v>6947.9</v>
      </c>
      <c r="E28" s="95"/>
      <c r="F28" s="95"/>
      <c r="G28" s="120">
        <v>275</v>
      </c>
      <c r="H28" s="17">
        <f t="shared" si="4"/>
        <v>275</v>
      </c>
      <c r="I28" s="121">
        <f t="shared" si="5"/>
        <v>39.580304840311463</v>
      </c>
      <c r="J28" s="29">
        <v>7</v>
      </c>
    </row>
    <row r="29" spans="1:29" ht="16">
      <c r="A29" s="113" t="s">
        <v>228</v>
      </c>
      <c r="B29" s="114" t="s">
        <v>161</v>
      </c>
      <c r="C29" s="118">
        <v>3541.9</v>
      </c>
      <c r="D29" s="128">
        <v>1797.1</v>
      </c>
      <c r="E29" s="29">
        <v>63</v>
      </c>
      <c r="F29" s="29">
        <v>236</v>
      </c>
      <c r="G29" s="126">
        <v>52</v>
      </c>
      <c r="H29" s="17">
        <f t="shared" si="4"/>
        <v>351</v>
      </c>
      <c r="I29" s="121">
        <f t="shared" si="5"/>
        <v>195.31467364086586</v>
      </c>
      <c r="J29" s="29">
        <v>5</v>
      </c>
    </row>
    <row r="30" spans="1:29" ht="16">
      <c r="G30" s="129" t="s">
        <v>280</v>
      </c>
      <c r="H30" s="130">
        <f>SUM(H23:H29)</f>
        <v>1621</v>
      </c>
    </row>
    <row r="33" spans="1:10" ht="16">
      <c r="F33" s="29" t="s">
        <v>299</v>
      </c>
    </row>
    <row r="36" spans="1:10" ht="15" customHeight="1">
      <c r="A36" s="194" t="s">
        <v>443</v>
      </c>
      <c r="C36" s="106" t="s">
        <v>695</v>
      </c>
      <c r="D36" s="106" t="s">
        <v>694</v>
      </c>
      <c r="E36" s="106" t="s">
        <v>697</v>
      </c>
      <c r="G36" s="106" t="s">
        <v>698</v>
      </c>
      <c r="I36" s="200" t="s">
        <v>700</v>
      </c>
    </row>
    <row r="37" spans="1:10" ht="15" customHeight="1">
      <c r="A37" s="9" t="s">
        <v>205</v>
      </c>
      <c r="B37" s="9" t="s">
        <v>206</v>
      </c>
      <c r="C37">
        <v>40</v>
      </c>
      <c r="D37">
        <v>68.599999999999994</v>
      </c>
      <c r="E37" s="195">
        <f>C37/(D37/1000)</f>
        <v>583.09037900874637</v>
      </c>
      <c r="G37" s="199">
        <f>E37/E46</f>
        <v>2.2691933916423714</v>
      </c>
      <c r="I37" s="106" t="s">
        <v>699</v>
      </c>
      <c r="J37" s="195">
        <f>(E38+E41)/2</f>
        <v>2352.1862348178138</v>
      </c>
    </row>
    <row r="38" spans="1:10" ht="15" customHeight="1">
      <c r="A38" s="9" t="s">
        <v>210</v>
      </c>
      <c r="B38" s="9" t="s">
        <v>211</v>
      </c>
      <c r="C38">
        <v>72</v>
      </c>
      <c r="D38">
        <v>197.6</v>
      </c>
      <c r="E38" s="195">
        <f t="shared" ref="E38:E43" si="6">C38/(D38/1000)</f>
        <v>364.37246963562751</v>
      </c>
      <c r="G38" s="199">
        <f t="shared" ref="G38:G43" si="7">E38/E47</f>
        <v>1.2609890109890112</v>
      </c>
      <c r="I38" s="106" t="s">
        <v>701</v>
      </c>
      <c r="J38" s="195">
        <f>(E37+E43)/2</f>
        <v>891.54518950437318</v>
      </c>
    </row>
    <row r="39" spans="1:10" ht="15" customHeight="1">
      <c r="A39" s="9" t="s">
        <v>212</v>
      </c>
      <c r="B39" s="9" t="s">
        <v>167</v>
      </c>
      <c r="C39">
        <v>48</v>
      </c>
      <c r="D39">
        <v>157.9</v>
      </c>
      <c r="E39" s="195">
        <f t="shared" si="6"/>
        <v>303.98986700443317</v>
      </c>
      <c r="G39" s="199">
        <f t="shared" si="7"/>
        <v>5.3248891703609873</v>
      </c>
      <c r="I39" s="106" t="s">
        <v>703</v>
      </c>
      <c r="J39" s="195">
        <f>E39</f>
        <v>303.98986700443317</v>
      </c>
    </row>
    <row r="40" spans="1:10" ht="15" customHeight="1">
      <c r="A40" s="9" t="s">
        <v>218</v>
      </c>
      <c r="B40" s="87" t="s">
        <v>172</v>
      </c>
      <c r="C40">
        <v>144</v>
      </c>
      <c r="D40">
        <v>564.4</v>
      </c>
      <c r="E40" s="195">
        <f t="shared" si="6"/>
        <v>255.13819985825654</v>
      </c>
      <c r="G40" s="199">
        <f t="shared" si="7"/>
        <v>1.6301720464033189</v>
      </c>
      <c r="I40" s="106" t="s">
        <v>702</v>
      </c>
      <c r="J40" s="195">
        <f>E40</f>
        <v>255.13819985825654</v>
      </c>
    </row>
    <row r="41" spans="1:10" ht="15" customHeight="1">
      <c r="A41" s="9" t="s">
        <v>221</v>
      </c>
      <c r="B41" s="87" t="s">
        <v>165</v>
      </c>
      <c r="C41">
        <v>217</v>
      </c>
      <c r="D41">
        <v>50</v>
      </c>
      <c r="E41" s="195">
        <f t="shared" si="6"/>
        <v>4340</v>
      </c>
      <c r="G41" s="199">
        <f t="shared" si="7"/>
        <v>9.3953846153846161</v>
      </c>
      <c r="I41" s="106" t="s">
        <v>704</v>
      </c>
      <c r="J41" s="195">
        <f>E42</f>
        <v>220</v>
      </c>
    </row>
    <row r="42" spans="1:10" ht="15" customHeight="1">
      <c r="A42" s="9" t="s">
        <v>225</v>
      </c>
      <c r="B42" s="87" t="s">
        <v>193</v>
      </c>
      <c r="C42">
        <v>11</v>
      </c>
      <c r="D42">
        <v>50</v>
      </c>
      <c r="E42" s="195">
        <f t="shared" si="6"/>
        <v>220</v>
      </c>
      <c r="G42" s="199">
        <f t="shared" si="7"/>
        <v>5.2060344827586205</v>
      </c>
    </row>
    <row r="43" spans="1:10" ht="15" customHeight="1">
      <c r="A43" s="113" t="s">
        <v>228</v>
      </c>
      <c r="B43" s="114" t="s">
        <v>161</v>
      </c>
      <c r="C43">
        <v>30</v>
      </c>
      <c r="D43">
        <v>25</v>
      </c>
      <c r="E43" s="195">
        <f t="shared" si="6"/>
        <v>1200</v>
      </c>
      <c r="G43" s="199">
        <f t="shared" si="7"/>
        <v>8.0371962616822437</v>
      </c>
    </row>
    <row r="45" spans="1:10" ht="15" customHeight="1">
      <c r="A45" s="197" t="s">
        <v>293</v>
      </c>
      <c r="C45" s="106" t="s">
        <v>696</v>
      </c>
      <c r="D45" s="106" t="s">
        <v>694</v>
      </c>
      <c r="E45" s="106" t="s">
        <v>697</v>
      </c>
      <c r="G45" s="196"/>
      <c r="H45" s="196"/>
      <c r="I45" s="200" t="s">
        <v>700</v>
      </c>
    </row>
    <row r="46" spans="1:10" ht="15" customHeight="1">
      <c r="A46" s="9" t="s">
        <v>205</v>
      </c>
      <c r="B46" s="9" t="s">
        <v>206</v>
      </c>
      <c r="C46" s="9">
        <v>12</v>
      </c>
      <c r="D46" s="9">
        <v>46.7</v>
      </c>
      <c r="E46" s="195">
        <f>C46/(D46/1000)</f>
        <v>256.95931477516058</v>
      </c>
      <c r="G46" s="196"/>
      <c r="H46" s="196"/>
      <c r="I46" s="106" t="s">
        <v>699</v>
      </c>
      <c r="J46" s="195">
        <f>(E47+E50)/2</f>
        <v>375.44331117432273</v>
      </c>
    </row>
    <row r="47" spans="1:10" ht="15" customHeight="1">
      <c r="A47" s="9" t="s">
        <v>210</v>
      </c>
      <c r="B47" s="9" t="s">
        <v>211</v>
      </c>
      <c r="C47" s="9">
        <v>84</v>
      </c>
      <c r="D47" s="9">
        <v>290.7</v>
      </c>
      <c r="E47" s="195">
        <f t="shared" ref="E47:E52" si="8">C47/(D47/1000)</f>
        <v>288.95768833849326</v>
      </c>
      <c r="G47" s="196"/>
      <c r="H47" s="196"/>
      <c r="I47" s="106" t="s">
        <v>701</v>
      </c>
      <c r="J47" s="195">
        <f>(E46+E52)/2</f>
        <v>203.13255629220598</v>
      </c>
    </row>
    <row r="48" spans="1:10" ht="15" customHeight="1">
      <c r="A48" s="9" t="s">
        <v>212</v>
      </c>
      <c r="B48" s="9" t="s">
        <v>167</v>
      </c>
      <c r="C48" s="9">
        <v>6</v>
      </c>
      <c r="D48" s="9">
        <v>105.1</v>
      </c>
      <c r="E48" s="195">
        <f t="shared" si="8"/>
        <v>57.088487155090391</v>
      </c>
      <c r="G48" s="197"/>
      <c r="H48" s="197"/>
      <c r="I48" s="106" t="s">
        <v>703</v>
      </c>
      <c r="J48" s="195">
        <f>E48</f>
        <v>57.088487155090391</v>
      </c>
    </row>
    <row r="49" spans="1:10" ht="15" customHeight="1">
      <c r="A49" s="9" t="s">
        <v>218</v>
      </c>
      <c r="B49" s="87" t="s">
        <v>172</v>
      </c>
      <c r="C49" s="9">
        <v>301</v>
      </c>
      <c r="D49" s="9">
        <v>1923.2</v>
      </c>
      <c r="E49" s="195">
        <f t="shared" si="8"/>
        <v>156.50998336106488</v>
      </c>
      <c r="G49" s="196"/>
      <c r="H49" s="196"/>
      <c r="I49" s="106" t="s">
        <v>702</v>
      </c>
      <c r="J49" s="195">
        <f>E49</f>
        <v>156.50998336106488</v>
      </c>
    </row>
    <row r="50" spans="1:10" ht="15" customHeight="1">
      <c r="A50" s="9" t="s">
        <v>221</v>
      </c>
      <c r="B50" s="87" t="s">
        <v>165</v>
      </c>
      <c r="C50" s="9">
        <v>91</v>
      </c>
      <c r="D50" s="9">
        <v>197</v>
      </c>
      <c r="E50" s="195">
        <f t="shared" si="8"/>
        <v>461.92893401015226</v>
      </c>
      <c r="G50" s="197"/>
      <c r="H50" s="197"/>
      <c r="I50" s="106" t="s">
        <v>704</v>
      </c>
      <c r="J50" s="195">
        <f>E51</f>
        <v>42.258652094717668</v>
      </c>
    </row>
    <row r="51" spans="1:10" ht="15" customHeight="1">
      <c r="A51" s="9" t="s">
        <v>225</v>
      </c>
      <c r="B51" s="87" t="s">
        <v>193</v>
      </c>
      <c r="C51" s="9">
        <v>290</v>
      </c>
      <c r="D51" s="9">
        <v>6862.5</v>
      </c>
      <c r="E51" s="195">
        <f t="shared" si="8"/>
        <v>42.258652094717668</v>
      </c>
      <c r="G51" s="197"/>
      <c r="H51" s="197"/>
      <c r="I51" s="197"/>
    </row>
    <row r="52" spans="1:10" ht="15" customHeight="1">
      <c r="A52" s="113" t="s">
        <v>228</v>
      </c>
      <c r="B52" s="114" t="s">
        <v>161</v>
      </c>
      <c r="C52" s="113">
        <v>214</v>
      </c>
      <c r="D52" s="113">
        <v>1433.3</v>
      </c>
      <c r="E52" s="195">
        <f t="shared" si="8"/>
        <v>149.30579780925137</v>
      </c>
      <c r="G52" s="196"/>
      <c r="H52" s="196"/>
      <c r="I52" s="197"/>
    </row>
    <row r="53" spans="1:10" ht="15" customHeight="1">
      <c r="G53" s="198"/>
      <c r="H53" s="198"/>
      <c r="I53" s="197"/>
    </row>
    <row r="54" spans="1:10" ht="15" customHeight="1">
      <c r="G54" s="198"/>
      <c r="H54" s="197"/>
      <c r="I54" s="197"/>
    </row>
    <row r="55" spans="1:10" ht="15" customHeight="1">
      <c r="G55" s="198"/>
      <c r="H55" s="197"/>
      <c r="I55" s="197"/>
    </row>
    <row r="56" spans="1:10" ht="15" customHeight="1">
      <c r="G56" s="196"/>
      <c r="H56" s="196"/>
      <c r="I56" s="197"/>
    </row>
    <row r="57" spans="1:10" ht="15" customHeight="1">
      <c r="G57" s="198"/>
      <c r="H57" s="197"/>
      <c r="I57" s="197"/>
    </row>
    <row r="58" spans="1:10" ht="15" customHeight="1">
      <c r="G58" s="198"/>
      <c r="H58" s="197"/>
      <c r="I58" s="197"/>
    </row>
    <row r="59" spans="1:10" ht="15" customHeight="1">
      <c r="G59" s="196"/>
      <c r="H59" s="196"/>
      <c r="I59" s="197"/>
    </row>
    <row r="60" spans="1:10" ht="15" customHeight="1">
      <c r="G60" s="196"/>
      <c r="H60" s="196"/>
      <c r="I60" s="196"/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3:O80"/>
  <sheetViews>
    <sheetView topLeftCell="A14" workbookViewId="0"/>
  </sheetViews>
  <sheetFormatPr baseColWidth="10" defaultColWidth="11.1640625" defaultRowHeight="15" customHeight="1"/>
  <cols>
    <col min="1" max="1" width="7" customWidth="1"/>
    <col min="2" max="2" width="6.5" customWidth="1"/>
    <col min="5" max="5" width="12.5" customWidth="1"/>
    <col min="6" max="6" width="11.1640625" customWidth="1"/>
    <col min="8" max="8" width="15.1640625" customWidth="1"/>
    <col min="11" max="11" width="8.33203125" customWidth="1"/>
  </cols>
  <sheetData>
    <row r="3" spans="1:15">
      <c r="A3" s="29"/>
      <c r="B3" s="29"/>
      <c r="C3" s="29"/>
      <c r="D3" s="29"/>
      <c r="E3" s="29"/>
      <c r="F3" s="29"/>
      <c r="G3" s="29"/>
      <c r="H3" s="29"/>
      <c r="I3" s="29"/>
      <c r="J3" s="29"/>
    </row>
    <row r="4" spans="1:15">
      <c r="A4" s="78" t="s">
        <v>236</v>
      </c>
      <c r="B4" s="78" t="s">
        <v>237</v>
      </c>
      <c r="C4" s="78" t="s">
        <v>238</v>
      </c>
      <c r="D4" s="78" t="s">
        <v>239</v>
      </c>
      <c r="E4" s="78" t="s">
        <v>9</v>
      </c>
      <c r="F4" s="78" t="s">
        <v>240</v>
      </c>
      <c r="G4" s="78" t="s">
        <v>241</v>
      </c>
      <c r="H4" s="78" t="s">
        <v>242</v>
      </c>
      <c r="I4" s="78" t="s">
        <v>243</v>
      </c>
      <c r="J4" s="78" t="s">
        <v>244</v>
      </c>
      <c r="K4" s="78" t="s">
        <v>245</v>
      </c>
      <c r="L4" s="78" t="s">
        <v>137</v>
      </c>
      <c r="N4" s="29" t="s">
        <v>246</v>
      </c>
    </row>
    <row r="5" spans="1:15">
      <c r="A5" s="123" t="s">
        <v>247</v>
      </c>
      <c r="B5" s="123" t="s">
        <v>248</v>
      </c>
      <c r="C5" s="123" t="s">
        <v>249</v>
      </c>
      <c r="D5" s="123" t="s">
        <v>250</v>
      </c>
      <c r="E5" s="123" t="s">
        <v>251</v>
      </c>
      <c r="F5" s="123" t="s">
        <v>252</v>
      </c>
      <c r="G5" s="123" t="s">
        <v>253</v>
      </c>
      <c r="H5" s="123" t="s">
        <v>254</v>
      </c>
      <c r="I5" s="123" t="s">
        <v>255</v>
      </c>
      <c r="J5" s="123" t="s">
        <v>256</v>
      </c>
      <c r="K5" s="123" t="s">
        <v>257</v>
      </c>
      <c r="L5" s="124"/>
      <c r="N5" s="29" t="s">
        <v>231</v>
      </c>
      <c r="O5" s="29" t="s">
        <v>258</v>
      </c>
    </row>
    <row r="6" spans="1:15">
      <c r="A6" s="2">
        <v>2017</v>
      </c>
      <c r="B6" s="2" t="s">
        <v>259</v>
      </c>
      <c r="C6" s="2" t="s">
        <v>260</v>
      </c>
      <c r="D6" s="2" t="s">
        <v>261</v>
      </c>
      <c r="E6" s="2" t="s">
        <v>262</v>
      </c>
      <c r="F6" s="2">
        <v>1</v>
      </c>
      <c r="G6" s="125" t="s">
        <v>263</v>
      </c>
      <c r="H6" s="127" t="s">
        <v>254</v>
      </c>
      <c r="I6" s="2" t="s">
        <v>264</v>
      </c>
      <c r="J6" s="2" t="s">
        <v>265</v>
      </c>
      <c r="K6" s="2">
        <v>172</v>
      </c>
      <c r="L6" s="3"/>
      <c r="N6" s="29" t="s">
        <v>232</v>
      </c>
      <c r="O6" s="29" t="s">
        <v>266</v>
      </c>
    </row>
    <row r="7" spans="1:15">
      <c r="A7" s="2">
        <v>2017</v>
      </c>
      <c r="B7" s="2" t="s">
        <v>259</v>
      </c>
      <c r="C7" s="2" t="s">
        <v>260</v>
      </c>
      <c r="D7" s="2" t="s">
        <v>261</v>
      </c>
      <c r="E7" s="2" t="s">
        <v>262</v>
      </c>
      <c r="F7" s="2">
        <v>1</v>
      </c>
      <c r="G7" s="2" t="s">
        <v>267</v>
      </c>
      <c r="H7" s="127" t="s">
        <v>268</v>
      </c>
      <c r="I7" s="2" t="s">
        <v>269</v>
      </c>
      <c r="J7" s="3"/>
      <c r="K7" s="3"/>
      <c r="L7" s="3"/>
      <c r="N7" s="29" t="s">
        <v>233</v>
      </c>
      <c r="O7" s="29" t="s">
        <v>270</v>
      </c>
    </row>
    <row r="8" spans="1:15">
      <c r="A8" s="2">
        <v>2017</v>
      </c>
      <c r="B8" s="2" t="s">
        <v>259</v>
      </c>
      <c r="C8" s="2" t="s">
        <v>260</v>
      </c>
      <c r="D8" s="2" t="s">
        <v>261</v>
      </c>
      <c r="E8" s="2" t="s">
        <v>262</v>
      </c>
      <c r="F8" s="2">
        <v>1</v>
      </c>
      <c r="G8" s="2" t="s">
        <v>271</v>
      </c>
      <c r="H8" s="127" t="s">
        <v>272</v>
      </c>
      <c r="I8" s="2" t="s">
        <v>273</v>
      </c>
      <c r="J8" s="3"/>
      <c r="K8" s="3"/>
      <c r="L8" s="3"/>
      <c r="N8" s="29" t="s">
        <v>274</v>
      </c>
      <c r="O8" s="29" t="s">
        <v>275</v>
      </c>
    </row>
    <row r="9" spans="1:15">
      <c r="A9" s="2">
        <v>2017</v>
      </c>
      <c r="B9" s="2" t="s">
        <v>259</v>
      </c>
      <c r="C9" s="2" t="s">
        <v>260</v>
      </c>
      <c r="D9" s="2" t="s">
        <v>261</v>
      </c>
      <c r="E9" s="2" t="s">
        <v>262</v>
      </c>
      <c r="F9" s="2">
        <v>1</v>
      </c>
      <c r="G9" s="2" t="s">
        <v>276</v>
      </c>
      <c r="H9" s="127" t="s">
        <v>277</v>
      </c>
      <c r="I9" s="2" t="s">
        <v>278</v>
      </c>
      <c r="J9" s="3"/>
      <c r="K9" s="3"/>
      <c r="L9" s="3"/>
      <c r="N9" s="29" t="s">
        <v>7</v>
      </c>
      <c r="O9" s="29" t="s">
        <v>279</v>
      </c>
    </row>
    <row r="10" spans="1:15">
      <c r="A10" s="2">
        <v>2017</v>
      </c>
      <c r="B10" s="2" t="s">
        <v>259</v>
      </c>
      <c r="C10" s="2" t="s">
        <v>260</v>
      </c>
      <c r="D10" s="2" t="s">
        <v>261</v>
      </c>
      <c r="E10" s="2" t="s">
        <v>262</v>
      </c>
      <c r="F10" s="2">
        <v>1</v>
      </c>
      <c r="G10" s="2" t="s">
        <v>281</v>
      </c>
      <c r="H10" s="127" t="s">
        <v>282</v>
      </c>
      <c r="I10" s="2" t="s">
        <v>283</v>
      </c>
      <c r="J10" s="2"/>
      <c r="K10" s="2"/>
      <c r="L10" s="3"/>
    </row>
    <row r="11" spans="1:15">
      <c r="A11" s="2">
        <v>2017</v>
      </c>
      <c r="B11" s="2" t="s">
        <v>259</v>
      </c>
      <c r="C11" s="2" t="s">
        <v>260</v>
      </c>
      <c r="D11" s="2" t="s">
        <v>261</v>
      </c>
      <c r="E11" s="2" t="s">
        <v>262</v>
      </c>
      <c r="F11" s="2">
        <v>1</v>
      </c>
      <c r="G11" s="2" t="s">
        <v>284</v>
      </c>
      <c r="H11" s="127" t="s">
        <v>285</v>
      </c>
      <c r="I11" s="2" t="s">
        <v>286</v>
      </c>
      <c r="J11" s="2"/>
      <c r="K11" s="2"/>
      <c r="L11" s="3"/>
      <c r="N11" s="29" t="s">
        <v>287</v>
      </c>
      <c r="O11" s="29" t="s">
        <v>135</v>
      </c>
    </row>
    <row r="12" spans="1:15">
      <c r="A12" s="2">
        <v>2017</v>
      </c>
      <c r="B12" s="2" t="s">
        <v>259</v>
      </c>
      <c r="C12" s="2" t="s">
        <v>260</v>
      </c>
      <c r="D12" s="2" t="s">
        <v>261</v>
      </c>
      <c r="E12" s="2" t="s">
        <v>262</v>
      </c>
      <c r="F12" s="2">
        <v>1</v>
      </c>
      <c r="G12" s="125" t="s">
        <v>288</v>
      </c>
      <c r="H12" s="127" t="s">
        <v>289</v>
      </c>
      <c r="I12" s="2" t="s">
        <v>290</v>
      </c>
      <c r="J12" s="2" t="s">
        <v>291</v>
      </c>
      <c r="K12" s="2">
        <v>125</v>
      </c>
      <c r="L12" s="3"/>
      <c r="N12" s="29" t="s">
        <v>292</v>
      </c>
      <c r="O12" s="29" t="s">
        <v>293</v>
      </c>
    </row>
    <row r="13" spans="1:15">
      <c r="A13" s="2">
        <v>2017</v>
      </c>
      <c r="B13" s="2" t="s">
        <v>259</v>
      </c>
      <c r="C13" s="2" t="s">
        <v>260</v>
      </c>
      <c r="D13" s="2" t="s">
        <v>261</v>
      </c>
      <c r="E13" s="2" t="s">
        <v>262</v>
      </c>
      <c r="F13" s="2">
        <v>1</v>
      </c>
      <c r="G13" s="2" t="s">
        <v>294</v>
      </c>
      <c r="H13" s="127" t="s">
        <v>295</v>
      </c>
      <c r="I13" s="2" t="s">
        <v>296</v>
      </c>
      <c r="J13" s="3"/>
      <c r="K13" s="3"/>
      <c r="L13" s="3"/>
      <c r="N13" s="29" t="s">
        <v>297</v>
      </c>
      <c r="O13" s="29" t="s">
        <v>298</v>
      </c>
    </row>
    <row r="14" spans="1:15">
      <c r="A14" s="2">
        <v>2017</v>
      </c>
      <c r="B14" s="2" t="s">
        <v>259</v>
      </c>
      <c r="C14" s="2" t="s">
        <v>260</v>
      </c>
      <c r="D14" s="2" t="s">
        <v>261</v>
      </c>
      <c r="E14" s="2" t="s">
        <v>262</v>
      </c>
      <c r="F14" s="2">
        <v>1</v>
      </c>
      <c r="G14" s="2" t="s">
        <v>300</v>
      </c>
      <c r="H14" s="127" t="s">
        <v>301</v>
      </c>
      <c r="I14" s="2" t="s">
        <v>302</v>
      </c>
      <c r="J14" s="3"/>
      <c r="K14" s="3"/>
      <c r="L14" s="3"/>
      <c r="N14" s="29" t="s">
        <v>303</v>
      </c>
      <c r="O14" s="29" t="s">
        <v>304</v>
      </c>
    </row>
    <row r="15" spans="1:15">
      <c r="A15" s="2">
        <v>2017</v>
      </c>
      <c r="B15" s="2" t="s">
        <v>259</v>
      </c>
      <c r="C15" s="2" t="s">
        <v>260</v>
      </c>
      <c r="D15" s="2" t="s">
        <v>261</v>
      </c>
      <c r="E15" s="2" t="s">
        <v>262</v>
      </c>
      <c r="F15" s="2">
        <v>1</v>
      </c>
      <c r="G15" s="2" t="s">
        <v>305</v>
      </c>
      <c r="H15" s="127" t="s">
        <v>306</v>
      </c>
      <c r="I15" s="2" t="s">
        <v>307</v>
      </c>
      <c r="J15" s="3"/>
      <c r="K15" s="3"/>
      <c r="L15" s="3"/>
      <c r="N15" s="29" t="s">
        <v>308</v>
      </c>
      <c r="O15" s="29" t="s">
        <v>309</v>
      </c>
    </row>
    <row r="16" spans="1:15">
      <c r="A16" s="2">
        <v>2017</v>
      </c>
      <c r="B16" s="2" t="s">
        <v>259</v>
      </c>
      <c r="C16" s="2" t="s">
        <v>260</v>
      </c>
      <c r="D16" s="2" t="s">
        <v>261</v>
      </c>
      <c r="E16" s="2" t="s">
        <v>262</v>
      </c>
      <c r="F16" s="2">
        <v>1</v>
      </c>
      <c r="G16" s="2" t="s">
        <v>310</v>
      </c>
      <c r="H16" s="127" t="s">
        <v>311</v>
      </c>
      <c r="I16" s="2" t="s">
        <v>312</v>
      </c>
      <c r="J16" s="2"/>
      <c r="K16" s="2"/>
      <c r="L16" s="3"/>
      <c r="N16" s="29" t="s">
        <v>313</v>
      </c>
      <c r="O16" s="29" t="s">
        <v>314</v>
      </c>
    </row>
    <row r="17" spans="1:15">
      <c r="A17" s="2">
        <v>2017</v>
      </c>
      <c r="B17" s="2" t="s">
        <v>259</v>
      </c>
      <c r="C17" s="2" t="s">
        <v>260</v>
      </c>
      <c r="D17" s="2" t="s">
        <v>261</v>
      </c>
      <c r="E17" s="2" t="s">
        <v>262</v>
      </c>
      <c r="F17" s="2">
        <v>1</v>
      </c>
      <c r="G17" s="2" t="s">
        <v>315</v>
      </c>
      <c r="H17" s="127" t="s">
        <v>316</v>
      </c>
      <c r="I17" s="2" t="s">
        <v>317</v>
      </c>
      <c r="J17" s="2"/>
      <c r="K17" s="2"/>
      <c r="L17" s="3"/>
      <c r="N17" s="29" t="s">
        <v>318</v>
      </c>
      <c r="O17" s="29" t="s">
        <v>319</v>
      </c>
    </row>
    <row r="18" spans="1:15">
      <c r="A18" s="2">
        <v>2017</v>
      </c>
      <c r="B18" s="2" t="s">
        <v>259</v>
      </c>
      <c r="C18" s="2" t="s">
        <v>260</v>
      </c>
      <c r="D18" s="2" t="s">
        <v>261</v>
      </c>
      <c r="E18" s="2" t="s">
        <v>262</v>
      </c>
      <c r="F18" s="2">
        <v>1</v>
      </c>
      <c r="G18" s="125" t="s">
        <v>320</v>
      </c>
      <c r="H18" s="127" t="s">
        <v>321</v>
      </c>
      <c r="I18" s="2" t="s">
        <v>322</v>
      </c>
      <c r="J18" s="2" t="s">
        <v>323</v>
      </c>
      <c r="K18" s="2">
        <v>168</v>
      </c>
      <c r="L18" s="3"/>
      <c r="N18" s="29" t="s">
        <v>324</v>
      </c>
      <c r="O18" s="29" t="s">
        <v>53</v>
      </c>
    </row>
    <row r="19" spans="1:15">
      <c r="A19" s="2">
        <v>2017</v>
      </c>
      <c r="B19" s="2" t="s">
        <v>259</v>
      </c>
      <c r="C19" s="2" t="s">
        <v>260</v>
      </c>
      <c r="D19" s="2" t="s">
        <v>261</v>
      </c>
      <c r="E19" s="2" t="s">
        <v>262</v>
      </c>
      <c r="F19" s="2">
        <v>1</v>
      </c>
      <c r="G19" s="2" t="s">
        <v>325</v>
      </c>
      <c r="H19" s="127" t="s">
        <v>326</v>
      </c>
      <c r="I19" s="2" t="s">
        <v>327</v>
      </c>
      <c r="J19" s="3"/>
      <c r="K19" s="3"/>
      <c r="L19" s="3"/>
    </row>
    <row r="20" spans="1:15">
      <c r="A20" s="2">
        <v>2017</v>
      </c>
      <c r="B20" s="2" t="s">
        <v>259</v>
      </c>
      <c r="C20" s="2" t="s">
        <v>260</v>
      </c>
      <c r="D20" s="2" t="s">
        <v>261</v>
      </c>
      <c r="E20" s="2" t="s">
        <v>262</v>
      </c>
      <c r="F20" s="2">
        <v>1</v>
      </c>
      <c r="G20" s="2" t="s">
        <v>328</v>
      </c>
      <c r="H20" s="127" t="s">
        <v>329</v>
      </c>
      <c r="I20" s="2" t="s">
        <v>330</v>
      </c>
      <c r="J20" s="3"/>
      <c r="K20" s="3"/>
      <c r="L20" s="3"/>
    </row>
    <row r="21" spans="1:15">
      <c r="A21" s="2">
        <v>2017</v>
      </c>
      <c r="B21" s="2" t="s">
        <v>259</v>
      </c>
      <c r="C21" s="2" t="s">
        <v>260</v>
      </c>
      <c r="D21" s="2" t="s">
        <v>261</v>
      </c>
      <c r="E21" s="2" t="s">
        <v>262</v>
      </c>
      <c r="F21" s="2">
        <v>1</v>
      </c>
      <c r="G21" s="2" t="s">
        <v>331</v>
      </c>
      <c r="H21" s="127" t="s">
        <v>332</v>
      </c>
      <c r="I21" s="2" t="s">
        <v>333</v>
      </c>
      <c r="J21" s="3"/>
      <c r="K21" s="3"/>
      <c r="L21" s="3"/>
    </row>
    <row r="22" spans="1:15">
      <c r="A22" s="2">
        <v>2017</v>
      </c>
      <c r="B22" s="2" t="s">
        <v>259</v>
      </c>
      <c r="C22" s="2" t="s">
        <v>260</v>
      </c>
      <c r="D22" s="2" t="s">
        <v>261</v>
      </c>
      <c r="E22" s="2" t="s">
        <v>262</v>
      </c>
      <c r="F22" s="2">
        <v>1</v>
      </c>
      <c r="G22" s="2" t="s">
        <v>334</v>
      </c>
      <c r="H22" s="127" t="s">
        <v>335</v>
      </c>
      <c r="I22" s="2" t="s">
        <v>336</v>
      </c>
      <c r="J22" s="2"/>
      <c r="K22" s="2"/>
      <c r="L22" s="3"/>
    </row>
    <row r="23" spans="1:15">
      <c r="A23" s="2">
        <v>2017</v>
      </c>
      <c r="B23" s="2" t="s">
        <v>259</v>
      </c>
      <c r="C23" s="2" t="s">
        <v>260</v>
      </c>
      <c r="D23" s="2" t="s">
        <v>261</v>
      </c>
      <c r="E23" s="2" t="s">
        <v>262</v>
      </c>
      <c r="F23" s="2">
        <v>1</v>
      </c>
      <c r="G23" s="2" t="s">
        <v>337</v>
      </c>
      <c r="H23" s="127" t="s">
        <v>338</v>
      </c>
      <c r="I23" s="2" t="s">
        <v>339</v>
      </c>
      <c r="J23" s="2"/>
      <c r="K23" s="2"/>
      <c r="L23" s="3"/>
    </row>
    <row r="24" spans="1:15">
      <c r="A24" s="2">
        <v>2017</v>
      </c>
      <c r="B24" s="2" t="s">
        <v>259</v>
      </c>
      <c r="C24" s="2" t="s">
        <v>260</v>
      </c>
      <c r="D24" s="2" t="s">
        <v>261</v>
      </c>
      <c r="E24" s="2" t="s">
        <v>262</v>
      </c>
      <c r="F24" s="2">
        <v>1</v>
      </c>
      <c r="G24" s="125" t="s">
        <v>340</v>
      </c>
      <c r="H24" s="127" t="s">
        <v>341</v>
      </c>
      <c r="I24" s="2" t="s">
        <v>342</v>
      </c>
      <c r="J24" s="2" t="s">
        <v>323</v>
      </c>
      <c r="K24" s="2">
        <v>199</v>
      </c>
      <c r="L24" s="3"/>
    </row>
    <row r="25" spans="1:15">
      <c r="A25" s="2">
        <v>2017</v>
      </c>
      <c r="B25" s="2" t="s">
        <v>259</v>
      </c>
      <c r="C25" s="2" t="s">
        <v>260</v>
      </c>
      <c r="D25" s="2" t="s">
        <v>261</v>
      </c>
      <c r="E25" s="2" t="s">
        <v>262</v>
      </c>
      <c r="F25" s="2">
        <v>1</v>
      </c>
      <c r="G25" s="2" t="s">
        <v>343</v>
      </c>
      <c r="H25" s="127" t="s">
        <v>344</v>
      </c>
      <c r="I25" s="2" t="s">
        <v>345</v>
      </c>
      <c r="J25" s="3"/>
      <c r="K25" s="3"/>
      <c r="L25" s="3"/>
    </row>
    <row r="26" spans="1:15">
      <c r="A26" s="2">
        <v>2017</v>
      </c>
      <c r="B26" s="2" t="s">
        <v>259</v>
      </c>
      <c r="C26" s="2" t="s">
        <v>260</v>
      </c>
      <c r="D26" s="2" t="s">
        <v>261</v>
      </c>
      <c r="E26" s="2" t="s">
        <v>262</v>
      </c>
      <c r="F26" s="2">
        <v>1</v>
      </c>
      <c r="G26" s="2" t="s">
        <v>346</v>
      </c>
      <c r="H26" s="127" t="s">
        <v>347</v>
      </c>
      <c r="I26" s="2" t="s">
        <v>348</v>
      </c>
      <c r="J26" s="3"/>
      <c r="K26" s="3"/>
      <c r="L26" s="3"/>
    </row>
    <row r="27" spans="1:15">
      <c r="A27" s="2">
        <v>2017</v>
      </c>
      <c r="B27" s="2" t="s">
        <v>259</v>
      </c>
      <c r="C27" s="2" t="s">
        <v>260</v>
      </c>
      <c r="D27" s="2" t="s">
        <v>261</v>
      </c>
      <c r="E27" s="2" t="s">
        <v>262</v>
      </c>
      <c r="F27" s="2">
        <v>1</v>
      </c>
      <c r="G27" s="2" t="s">
        <v>349</v>
      </c>
      <c r="H27" s="127" t="s">
        <v>350</v>
      </c>
      <c r="I27" s="2" t="s">
        <v>351</v>
      </c>
      <c r="J27" s="3"/>
      <c r="K27" s="3"/>
      <c r="L27" s="3"/>
    </row>
    <row r="28" spans="1:15">
      <c r="A28" s="2">
        <v>2017</v>
      </c>
      <c r="B28" s="2" t="s">
        <v>259</v>
      </c>
      <c r="C28" s="2" t="s">
        <v>260</v>
      </c>
      <c r="D28" s="2" t="s">
        <v>261</v>
      </c>
      <c r="E28" s="2" t="s">
        <v>262</v>
      </c>
      <c r="F28" s="2">
        <v>1</v>
      </c>
      <c r="G28" s="2" t="s">
        <v>352</v>
      </c>
      <c r="H28" s="127" t="s">
        <v>353</v>
      </c>
      <c r="I28" s="2" t="s">
        <v>354</v>
      </c>
      <c r="J28" s="2"/>
      <c r="K28" s="2"/>
      <c r="L28" s="3"/>
    </row>
    <row r="29" spans="1:15">
      <c r="A29" s="2">
        <v>2017</v>
      </c>
      <c r="B29" s="2" t="s">
        <v>259</v>
      </c>
      <c r="C29" s="2" t="s">
        <v>260</v>
      </c>
      <c r="D29" s="2" t="s">
        <v>261</v>
      </c>
      <c r="E29" s="2" t="s">
        <v>262</v>
      </c>
      <c r="F29" s="2">
        <v>1</v>
      </c>
      <c r="G29" s="2" t="s">
        <v>355</v>
      </c>
      <c r="H29" s="127" t="s">
        <v>356</v>
      </c>
      <c r="I29" s="2" t="s">
        <v>357</v>
      </c>
      <c r="J29" s="2"/>
      <c r="K29" s="2"/>
      <c r="L29" s="3"/>
    </row>
    <row r="30" spans="1:15">
      <c r="A30" s="2">
        <v>2017</v>
      </c>
      <c r="B30" s="2" t="s">
        <v>259</v>
      </c>
      <c r="C30" s="2" t="s">
        <v>260</v>
      </c>
      <c r="D30" s="2" t="s">
        <v>261</v>
      </c>
      <c r="E30" s="2" t="s">
        <v>262</v>
      </c>
      <c r="F30" s="2">
        <v>1</v>
      </c>
      <c r="G30" s="125" t="s">
        <v>358</v>
      </c>
      <c r="H30" s="127" t="s">
        <v>359</v>
      </c>
      <c r="I30" s="2" t="s">
        <v>360</v>
      </c>
      <c r="J30" s="2" t="s">
        <v>323</v>
      </c>
      <c r="K30" s="2">
        <v>146</v>
      </c>
      <c r="L30" s="3"/>
    </row>
    <row r="31" spans="1:15">
      <c r="A31" s="2">
        <v>2017</v>
      </c>
      <c r="B31" s="2" t="s">
        <v>259</v>
      </c>
      <c r="C31" s="2" t="s">
        <v>260</v>
      </c>
      <c r="D31" s="2" t="s">
        <v>261</v>
      </c>
      <c r="E31" s="2" t="s">
        <v>262</v>
      </c>
      <c r="F31" s="2">
        <v>1</v>
      </c>
      <c r="G31" s="2" t="s">
        <v>361</v>
      </c>
      <c r="H31" s="127" t="s">
        <v>362</v>
      </c>
      <c r="I31" s="2" t="s">
        <v>363</v>
      </c>
      <c r="J31" s="3"/>
      <c r="K31" s="3"/>
      <c r="L31" s="3"/>
    </row>
    <row r="32" spans="1:15">
      <c r="A32" s="2">
        <v>2017</v>
      </c>
      <c r="B32" s="2" t="s">
        <v>259</v>
      </c>
      <c r="C32" s="2" t="s">
        <v>260</v>
      </c>
      <c r="D32" s="2" t="s">
        <v>261</v>
      </c>
      <c r="E32" s="2" t="s">
        <v>262</v>
      </c>
      <c r="F32" s="2">
        <v>1</v>
      </c>
      <c r="G32" s="2" t="s">
        <v>364</v>
      </c>
      <c r="H32" s="127" t="s">
        <v>365</v>
      </c>
      <c r="I32" s="2" t="s">
        <v>366</v>
      </c>
      <c r="J32" s="3"/>
      <c r="K32" s="3"/>
      <c r="L32" s="3"/>
    </row>
    <row r="33" spans="1:12">
      <c r="A33" s="2">
        <v>2017</v>
      </c>
      <c r="B33" s="2" t="s">
        <v>259</v>
      </c>
      <c r="C33" s="2" t="s">
        <v>260</v>
      </c>
      <c r="D33" s="2" t="s">
        <v>261</v>
      </c>
      <c r="E33" s="2" t="s">
        <v>262</v>
      </c>
      <c r="F33" s="2">
        <v>1</v>
      </c>
      <c r="G33" s="2" t="s">
        <v>367</v>
      </c>
      <c r="H33" s="127" t="s">
        <v>368</v>
      </c>
      <c r="I33" s="2" t="s">
        <v>369</v>
      </c>
      <c r="J33" s="3"/>
      <c r="K33" s="3"/>
      <c r="L33" s="3"/>
    </row>
    <row r="34" spans="1:12">
      <c r="A34" s="2">
        <v>2017</v>
      </c>
      <c r="B34" s="2" t="s">
        <v>259</v>
      </c>
      <c r="C34" s="2" t="s">
        <v>260</v>
      </c>
      <c r="D34" s="2" t="s">
        <v>261</v>
      </c>
      <c r="E34" s="2" t="s">
        <v>262</v>
      </c>
      <c r="F34" s="2">
        <v>1</v>
      </c>
      <c r="G34" s="2" t="s">
        <v>370</v>
      </c>
      <c r="H34" s="127" t="s">
        <v>371</v>
      </c>
      <c r="I34" s="2" t="s">
        <v>372</v>
      </c>
      <c r="J34" s="2"/>
      <c r="K34" s="2"/>
      <c r="L34" s="3"/>
    </row>
    <row r="35" spans="1:12">
      <c r="A35" s="2">
        <v>2017</v>
      </c>
      <c r="B35" s="2" t="s">
        <v>259</v>
      </c>
      <c r="C35" s="2" t="s">
        <v>260</v>
      </c>
      <c r="D35" s="2" t="s">
        <v>261</v>
      </c>
      <c r="E35" s="2" t="s">
        <v>262</v>
      </c>
      <c r="F35" s="2">
        <v>1</v>
      </c>
      <c r="G35" s="125" t="s">
        <v>373</v>
      </c>
      <c r="H35" s="127" t="s">
        <v>374</v>
      </c>
      <c r="I35" s="2" t="s">
        <v>375</v>
      </c>
      <c r="J35" s="2" t="s">
        <v>376</v>
      </c>
      <c r="K35" s="2">
        <v>154</v>
      </c>
      <c r="L35" s="3"/>
    </row>
    <row r="36" spans="1:12">
      <c r="A36" s="2">
        <v>2017</v>
      </c>
      <c r="B36" s="2" t="s">
        <v>259</v>
      </c>
      <c r="C36" s="2" t="s">
        <v>260</v>
      </c>
      <c r="D36" s="2" t="s">
        <v>261</v>
      </c>
      <c r="E36" s="2" t="s">
        <v>262</v>
      </c>
      <c r="F36" s="2">
        <v>1</v>
      </c>
      <c r="G36" s="125" t="s">
        <v>377</v>
      </c>
      <c r="H36" s="127" t="s">
        <v>378</v>
      </c>
      <c r="I36" s="2" t="s">
        <v>379</v>
      </c>
      <c r="J36" s="2" t="s">
        <v>323</v>
      </c>
      <c r="K36" s="2">
        <v>153</v>
      </c>
      <c r="L36" s="3"/>
    </row>
    <row r="37" spans="1:12">
      <c r="A37" s="2">
        <v>2017</v>
      </c>
      <c r="B37" s="2" t="s">
        <v>259</v>
      </c>
      <c r="C37" s="2" t="s">
        <v>260</v>
      </c>
      <c r="D37" s="2" t="s">
        <v>261</v>
      </c>
      <c r="E37" s="2" t="s">
        <v>262</v>
      </c>
      <c r="F37" s="2">
        <v>1</v>
      </c>
      <c r="G37" s="2" t="s">
        <v>380</v>
      </c>
      <c r="H37" s="127" t="s">
        <v>381</v>
      </c>
      <c r="I37" s="2" t="s">
        <v>382</v>
      </c>
      <c r="J37" s="3"/>
      <c r="K37" s="3"/>
      <c r="L37" s="3"/>
    </row>
    <row r="38" spans="1:12">
      <c r="A38" s="2">
        <v>2017</v>
      </c>
      <c r="B38" s="2" t="s">
        <v>259</v>
      </c>
      <c r="C38" s="2" t="s">
        <v>260</v>
      </c>
      <c r="D38" s="2" t="s">
        <v>261</v>
      </c>
      <c r="E38" s="2" t="s">
        <v>262</v>
      </c>
      <c r="F38" s="2">
        <v>1</v>
      </c>
      <c r="G38" s="125" t="s">
        <v>383</v>
      </c>
      <c r="H38" s="127" t="s">
        <v>384</v>
      </c>
      <c r="I38" s="2" t="s">
        <v>385</v>
      </c>
      <c r="J38" s="2" t="s">
        <v>323</v>
      </c>
      <c r="K38" s="2">
        <v>300</v>
      </c>
      <c r="L38" s="3"/>
    </row>
    <row r="39" spans="1:12">
      <c r="A39" s="2">
        <v>2017</v>
      </c>
      <c r="B39" s="2" t="s">
        <v>259</v>
      </c>
      <c r="C39" s="2" t="s">
        <v>260</v>
      </c>
      <c r="D39" s="2" t="s">
        <v>261</v>
      </c>
      <c r="E39" s="2" t="s">
        <v>262</v>
      </c>
      <c r="F39" s="2">
        <v>1</v>
      </c>
      <c r="G39" s="2" t="s">
        <v>386</v>
      </c>
      <c r="H39" s="127" t="s">
        <v>387</v>
      </c>
      <c r="I39" s="2" t="s">
        <v>388</v>
      </c>
      <c r="J39" s="2"/>
      <c r="K39" s="2"/>
      <c r="L39" s="3"/>
    </row>
    <row r="40" spans="1:12">
      <c r="A40" s="2">
        <v>2017</v>
      </c>
      <c r="B40" s="2" t="s">
        <v>259</v>
      </c>
      <c r="C40" s="2" t="s">
        <v>260</v>
      </c>
      <c r="D40" s="2" t="s">
        <v>261</v>
      </c>
      <c r="E40" s="2" t="s">
        <v>262</v>
      </c>
      <c r="F40" s="2">
        <v>1</v>
      </c>
      <c r="G40" s="2" t="s">
        <v>389</v>
      </c>
      <c r="H40" s="127" t="s">
        <v>390</v>
      </c>
      <c r="I40" s="2" t="s">
        <v>391</v>
      </c>
      <c r="J40" s="2"/>
      <c r="K40" s="2"/>
      <c r="L40" s="3"/>
    </row>
    <row r="41" spans="1:12">
      <c r="A41" s="2">
        <v>2017</v>
      </c>
      <c r="B41" s="2" t="s">
        <v>259</v>
      </c>
      <c r="C41" s="2" t="s">
        <v>260</v>
      </c>
      <c r="D41" s="2" t="s">
        <v>261</v>
      </c>
      <c r="E41" s="2" t="s">
        <v>262</v>
      </c>
      <c r="F41" s="2">
        <v>1</v>
      </c>
      <c r="G41" s="125" t="s">
        <v>392</v>
      </c>
      <c r="H41" s="127" t="s">
        <v>393</v>
      </c>
      <c r="I41" s="2" t="s">
        <v>394</v>
      </c>
      <c r="J41" s="2" t="s">
        <v>323</v>
      </c>
      <c r="K41" s="2">
        <v>144</v>
      </c>
      <c r="L41" s="3"/>
    </row>
    <row r="42" spans="1:12">
      <c r="A42" s="2">
        <v>2017</v>
      </c>
      <c r="B42" s="2" t="s">
        <v>259</v>
      </c>
      <c r="C42" s="2" t="s">
        <v>260</v>
      </c>
      <c r="D42" s="2" t="s">
        <v>261</v>
      </c>
      <c r="E42" s="2" t="s">
        <v>262</v>
      </c>
      <c r="F42" s="2">
        <v>1</v>
      </c>
      <c r="G42" s="125" t="s">
        <v>392</v>
      </c>
      <c r="H42" s="127" t="s">
        <v>395</v>
      </c>
      <c r="I42" s="2" t="s">
        <v>396</v>
      </c>
      <c r="J42" s="2" t="s">
        <v>323</v>
      </c>
      <c r="K42" s="2">
        <v>122</v>
      </c>
      <c r="L42" s="3"/>
    </row>
    <row r="43" spans="1:12">
      <c r="A43" s="2">
        <v>2017</v>
      </c>
      <c r="B43" s="2" t="s">
        <v>259</v>
      </c>
      <c r="C43" s="2" t="s">
        <v>260</v>
      </c>
      <c r="D43" s="2" t="s">
        <v>261</v>
      </c>
      <c r="E43" s="2" t="s">
        <v>262</v>
      </c>
      <c r="F43" s="2">
        <v>1</v>
      </c>
      <c r="G43" s="125" t="s">
        <v>397</v>
      </c>
      <c r="H43" s="127" t="s">
        <v>398</v>
      </c>
      <c r="I43" s="2" t="s">
        <v>399</v>
      </c>
      <c r="J43" s="2" t="s">
        <v>265</v>
      </c>
      <c r="K43" s="2">
        <v>136</v>
      </c>
      <c r="L43" s="3"/>
    </row>
    <row r="44" spans="1:12">
      <c r="A44" s="2">
        <v>2017</v>
      </c>
      <c r="B44" s="2" t="s">
        <v>259</v>
      </c>
      <c r="C44" s="2" t="s">
        <v>260</v>
      </c>
      <c r="D44" s="2" t="s">
        <v>261</v>
      </c>
      <c r="E44" s="2" t="s">
        <v>262</v>
      </c>
      <c r="F44" s="2">
        <v>1</v>
      </c>
      <c r="G44" s="2" t="s">
        <v>400</v>
      </c>
      <c r="H44" s="127" t="s">
        <v>401</v>
      </c>
      <c r="I44" s="2" t="s">
        <v>402</v>
      </c>
      <c r="J44" s="2"/>
      <c r="K44" s="2"/>
      <c r="L44" s="3"/>
    </row>
    <row r="45" spans="1:12">
      <c r="A45" s="2">
        <v>2017</v>
      </c>
      <c r="B45" s="2" t="s">
        <v>259</v>
      </c>
      <c r="C45" s="2" t="s">
        <v>260</v>
      </c>
      <c r="D45" s="2" t="s">
        <v>261</v>
      </c>
      <c r="E45" s="2" t="s">
        <v>262</v>
      </c>
      <c r="F45" s="2">
        <v>1</v>
      </c>
      <c r="G45" s="125" t="s">
        <v>403</v>
      </c>
      <c r="H45" s="127" t="s">
        <v>404</v>
      </c>
      <c r="I45" s="2" t="s">
        <v>405</v>
      </c>
      <c r="J45" s="2" t="s">
        <v>323</v>
      </c>
      <c r="K45" s="2">
        <v>303</v>
      </c>
      <c r="L45" s="3"/>
    </row>
    <row r="46" spans="1:12">
      <c r="A46" s="2">
        <v>2017</v>
      </c>
      <c r="B46" s="2" t="s">
        <v>259</v>
      </c>
      <c r="C46" s="2" t="s">
        <v>260</v>
      </c>
      <c r="D46" s="2" t="s">
        <v>261</v>
      </c>
      <c r="E46" s="2" t="s">
        <v>262</v>
      </c>
      <c r="F46" s="2">
        <v>1</v>
      </c>
      <c r="G46" s="2" t="s">
        <v>406</v>
      </c>
      <c r="H46" s="127" t="s">
        <v>407</v>
      </c>
      <c r="I46" s="2" t="s">
        <v>408</v>
      </c>
      <c r="J46" s="2"/>
      <c r="K46" s="2"/>
      <c r="L46" s="3"/>
    </row>
    <row r="47" spans="1:12">
      <c r="A47" s="2">
        <v>2017</v>
      </c>
      <c r="B47" s="2" t="s">
        <v>259</v>
      </c>
      <c r="C47" s="2" t="s">
        <v>260</v>
      </c>
      <c r="D47" s="2" t="s">
        <v>261</v>
      </c>
      <c r="E47" s="2" t="s">
        <v>262</v>
      </c>
      <c r="F47" s="2">
        <v>1</v>
      </c>
      <c r="G47" s="2" t="s">
        <v>409</v>
      </c>
      <c r="H47" s="127" t="s">
        <v>410</v>
      </c>
      <c r="I47" s="2" t="s">
        <v>411</v>
      </c>
      <c r="J47" s="2"/>
      <c r="K47" s="2"/>
      <c r="L47" s="3"/>
    </row>
    <row r="48" spans="1:12">
      <c r="A48" s="2">
        <v>2017</v>
      </c>
      <c r="B48" s="2" t="s">
        <v>259</v>
      </c>
      <c r="C48" s="2" t="s">
        <v>260</v>
      </c>
      <c r="D48" s="2" t="s">
        <v>261</v>
      </c>
      <c r="E48" s="2" t="s">
        <v>262</v>
      </c>
      <c r="F48" s="2">
        <v>1</v>
      </c>
      <c r="G48" s="125" t="s">
        <v>412</v>
      </c>
      <c r="H48" s="127" t="s">
        <v>413</v>
      </c>
      <c r="I48" s="2" t="s">
        <v>414</v>
      </c>
      <c r="J48" s="2" t="s">
        <v>323</v>
      </c>
      <c r="K48" s="2">
        <v>187</v>
      </c>
      <c r="L48" s="2" t="s">
        <v>415</v>
      </c>
    </row>
    <row r="49" spans="1:12">
      <c r="A49" s="2">
        <v>2017</v>
      </c>
      <c r="B49" s="2" t="s">
        <v>259</v>
      </c>
      <c r="C49" s="2" t="s">
        <v>260</v>
      </c>
      <c r="D49" s="2" t="s">
        <v>261</v>
      </c>
      <c r="E49" s="2" t="s">
        <v>262</v>
      </c>
      <c r="F49" s="2">
        <v>1</v>
      </c>
      <c r="G49" s="125" t="s">
        <v>416</v>
      </c>
      <c r="H49" s="127" t="s">
        <v>417</v>
      </c>
      <c r="I49" s="2" t="s">
        <v>418</v>
      </c>
      <c r="J49" s="2" t="s">
        <v>323</v>
      </c>
      <c r="K49" s="2">
        <v>141</v>
      </c>
      <c r="L49" s="3"/>
    </row>
    <row r="50" spans="1:12">
      <c r="A50" s="2">
        <v>2017</v>
      </c>
      <c r="B50" s="2" t="s">
        <v>259</v>
      </c>
      <c r="C50" s="2" t="s">
        <v>260</v>
      </c>
      <c r="D50" s="2" t="s">
        <v>261</v>
      </c>
      <c r="E50" s="2" t="s">
        <v>262</v>
      </c>
      <c r="F50" s="2">
        <v>1</v>
      </c>
      <c r="G50" s="2" t="s">
        <v>419</v>
      </c>
      <c r="H50" s="127" t="s">
        <v>420</v>
      </c>
      <c r="I50" s="2" t="s">
        <v>421</v>
      </c>
      <c r="J50" s="3"/>
      <c r="K50" s="3"/>
      <c r="L50" s="3"/>
    </row>
    <row r="51" spans="1:12">
      <c r="A51" s="2">
        <v>2017</v>
      </c>
      <c r="B51" s="2" t="s">
        <v>259</v>
      </c>
      <c r="C51" s="2" t="s">
        <v>260</v>
      </c>
      <c r="D51" s="2" t="s">
        <v>261</v>
      </c>
      <c r="E51" s="2" t="s">
        <v>262</v>
      </c>
      <c r="F51" s="2">
        <v>1</v>
      </c>
      <c r="G51" s="125" t="s">
        <v>422</v>
      </c>
      <c r="H51" s="127" t="s">
        <v>423</v>
      </c>
      <c r="I51" s="2" t="s">
        <v>424</v>
      </c>
      <c r="J51" s="2" t="s">
        <v>323</v>
      </c>
      <c r="K51" s="2">
        <v>209</v>
      </c>
      <c r="L51" s="3"/>
    </row>
    <row r="52" spans="1:12">
      <c r="A52" s="2">
        <v>2017</v>
      </c>
      <c r="B52" s="2" t="s">
        <v>259</v>
      </c>
      <c r="C52" s="2" t="s">
        <v>260</v>
      </c>
      <c r="D52" s="2" t="s">
        <v>261</v>
      </c>
      <c r="E52" s="2" t="s">
        <v>262</v>
      </c>
      <c r="F52" s="2">
        <v>1</v>
      </c>
      <c r="G52" s="125" t="s">
        <v>425</v>
      </c>
      <c r="H52" s="127" t="s">
        <v>426</v>
      </c>
      <c r="I52" s="2" t="s">
        <v>427</v>
      </c>
      <c r="J52" s="2" t="s">
        <v>265</v>
      </c>
      <c r="K52" s="2">
        <v>169</v>
      </c>
      <c r="L52" s="2" t="s">
        <v>415</v>
      </c>
    </row>
    <row r="53" spans="1:12">
      <c r="A53" s="2">
        <v>2017</v>
      </c>
      <c r="B53" s="2" t="s">
        <v>259</v>
      </c>
      <c r="C53" s="2" t="s">
        <v>260</v>
      </c>
      <c r="D53" s="2" t="s">
        <v>261</v>
      </c>
      <c r="E53" s="2" t="s">
        <v>262</v>
      </c>
      <c r="F53" s="2">
        <v>1</v>
      </c>
      <c r="G53" s="125" t="s">
        <v>428</v>
      </c>
      <c r="H53" s="127" t="s">
        <v>429</v>
      </c>
      <c r="I53" s="2" t="s">
        <v>430</v>
      </c>
      <c r="J53" s="2" t="s">
        <v>323</v>
      </c>
      <c r="K53" s="2">
        <v>161</v>
      </c>
      <c r="L53" s="2" t="s">
        <v>415</v>
      </c>
    </row>
    <row r="54" spans="1:12">
      <c r="A54" s="2">
        <v>2017</v>
      </c>
      <c r="B54" s="2" t="s">
        <v>259</v>
      </c>
      <c r="C54" s="2" t="s">
        <v>260</v>
      </c>
      <c r="D54" s="2" t="s">
        <v>261</v>
      </c>
      <c r="E54" s="2" t="s">
        <v>262</v>
      </c>
      <c r="F54" s="2">
        <v>1</v>
      </c>
      <c r="G54" s="2" t="s">
        <v>431</v>
      </c>
      <c r="H54" s="127" t="s">
        <v>432</v>
      </c>
      <c r="I54" s="2" t="s">
        <v>433</v>
      </c>
      <c r="J54" s="3"/>
      <c r="K54" s="3"/>
      <c r="L54" s="3"/>
    </row>
    <row r="55" spans="1:12">
      <c r="F55" s="3"/>
      <c r="G55" s="3"/>
      <c r="H55" s="3"/>
      <c r="I55" s="3"/>
      <c r="J55" s="3"/>
      <c r="K55" s="3"/>
    </row>
    <row r="56" spans="1:12">
      <c r="F56" s="2">
        <v>2</v>
      </c>
      <c r="G56" s="125" t="s">
        <v>377</v>
      </c>
      <c r="H56" s="3"/>
      <c r="I56" s="3"/>
      <c r="J56" s="2" t="s">
        <v>323</v>
      </c>
      <c r="K56" s="2">
        <v>295</v>
      </c>
    </row>
    <row r="57" spans="1:12">
      <c r="F57" s="2">
        <v>2</v>
      </c>
      <c r="G57" s="125" t="s">
        <v>383</v>
      </c>
      <c r="H57" s="3"/>
      <c r="I57" s="3"/>
      <c r="J57" s="2" t="s">
        <v>265</v>
      </c>
      <c r="K57" s="2">
        <v>382</v>
      </c>
    </row>
    <row r="58" spans="1:12">
      <c r="F58" s="3"/>
      <c r="G58" s="3"/>
      <c r="H58" s="3"/>
      <c r="I58" s="3"/>
      <c r="J58" s="3"/>
      <c r="K58" s="3"/>
    </row>
    <row r="64" spans="1:12">
      <c r="G64" s="29"/>
    </row>
    <row r="65" spans="1:11">
      <c r="G65" s="103"/>
    </row>
    <row r="73" spans="1:11">
      <c r="G73" s="29"/>
    </row>
    <row r="74" spans="1:11">
      <c r="G74" s="29"/>
    </row>
    <row r="75" spans="1:11">
      <c r="G75" s="103"/>
    </row>
    <row r="76" spans="1:11">
      <c r="G76" s="29"/>
    </row>
    <row r="77" spans="1:11">
      <c r="G77" s="29"/>
    </row>
    <row r="79" spans="1:11">
      <c r="A79" s="29">
        <v>2017</v>
      </c>
      <c r="B79" s="29" t="s">
        <v>259</v>
      </c>
      <c r="C79" s="29" t="s">
        <v>260</v>
      </c>
      <c r="D79" s="29" t="s">
        <v>261</v>
      </c>
      <c r="E79" s="29" t="s">
        <v>262</v>
      </c>
      <c r="F79" s="29">
        <v>2</v>
      </c>
      <c r="G79" s="9" t="s">
        <v>377</v>
      </c>
      <c r="J79" s="29" t="s">
        <v>323</v>
      </c>
      <c r="K79" s="29">
        <v>295</v>
      </c>
    </row>
    <row r="80" spans="1:11">
      <c r="A80" s="29">
        <v>2017</v>
      </c>
      <c r="B80" s="29" t="s">
        <v>259</v>
      </c>
      <c r="C80" s="29" t="s">
        <v>260</v>
      </c>
      <c r="D80" s="29" t="s">
        <v>261</v>
      </c>
      <c r="E80" s="29" t="s">
        <v>262</v>
      </c>
      <c r="F80" s="29">
        <v>2</v>
      </c>
      <c r="G80" s="9" t="s">
        <v>383</v>
      </c>
      <c r="J80" s="29" t="s">
        <v>265</v>
      </c>
      <c r="K80" s="29">
        <v>382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AG41"/>
  <sheetViews>
    <sheetView workbookViewId="0"/>
  </sheetViews>
  <sheetFormatPr baseColWidth="10" defaultColWidth="11.1640625" defaultRowHeight="15" customHeight="1"/>
  <cols>
    <col min="1" max="1" width="11.5" customWidth="1"/>
    <col min="2" max="11" width="6.33203125" customWidth="1"/>
    <col min="13" max="21" width="6.83203125" customWidth="1"/>
    <col min="22" max="22" width="11.5" customWidth="1"/>
    <col min="25" max="25" width="7.1640625" customWidth="1"/>
    <col min="26" max="26" width="6.83203125" customWidth="1"/>
    <col min="27" max="27" width="5.83203125" customWidth="1"/>
    <col min="28" max="29" width="6.1640625" customWidth="1"/>
    <col min="30" max="30" width="6.83203125" customWidth="1"/>
    <col min="31" max="31" width="6.6640625" customWidth="1"/>
    <col min="32" max="32" width="6.5" customWidth="1"/>
    <col min="33" max="33" width="7.83203125" customWidth="1"/>
  </cols>
  <sheetData>
    <row r="1" spans="2:33" ht="16">
      <c r="E1" s="131"/>
    </row>
    <row r="2" spans="2:33" ht="16">
      <c r="E2" s="132"/>
      <c r="F2" s="133" t="s">
        <v>434</v>
      </c>
      <c r="I2" s="134"/>
      <c r="J2" s="29" t="s">
        <v>435</v>
      </c>
    </row>
    <row r="3" spans="2:33" ht="16">
      <c r="B3" s="29" t="s">
        <v>436</v>
      </c>
      <c r="E3" s="135"/>
      <c r="F3" s="133" t="s">
        <v>437</v>
      </c>
      <c r="J3" s="92" t="s">
        <v>438</v>
      </c>
      <c r="M3" s="29" t="s">
        <v>439</v>
      </c>
      <c r="O3" s="29" t="s">
        <v>440</v>
      </c>
      <c r="X3" s="29" t="s">
        <v>441</v>
      </c>
      <c r="Y3" s="29" t="s">
        <v>442</v>
      </c>
    </row>
    <row r="4" spans="2:33" ht="22.5" customHeight="1">
      <c r="B4" s="136"/>
      <c r="C4" s="137" t="s">
        <v>443</v>
      </c>
      <c r="D4" s="137" t="s">
        <v>293</v>
      </c>
      <c r="E4" s="137" t="s">
        <v>135</v>
      </c>
      <c r="F4" s="137" t="s">
        <v>304</v>
      </c>
      <c r="G4" s="137" t="s">
        <v>444</v>
      </c>
      <c r="H4" s="137" t="s">
        <v>445</v>
      </c>
      <c r="I4" s="137" t="s">
        <v>53</v>
      </c>
      <c r="J4" s="137" t="s">
        <v>446</v>
      </c>
      <c r="K4" s="137" t="s">
        <v>17</v>
      </c>
      <c r="M4" s="136"/>
      <c r="N4" s="137" t="s">
        <v>443</v>
      </c>
      <c r="O4" s="137" t="s">
        <v>293</v>
      </c>
      <c r="P4" s="137" t="s">
        <v>135</v>
      </c>
      <c r="Q4" s="137" t="s">
        <v>304</v>
      </c>
      <c r="R4" s="137" t="s">
        <v>444</v>
      </c>
      <c r="S4" s="137" t="s">
        <v>445</v>
      </c>
      <c r="T4" s="137" t="s">
        <v>53</v>
      </c>
      <c r="U4" s="137" t="s">
        <v>446</v>
      </c>
      <c r="V4" s="137" t="s">
        <v>17</v>
      </c>
      <c r="X4" s="136"/>
      <c r="Y4" s="137" t="s">
        <v>443</v>
      </c>
      <c r="Z4" s="137" t="s">
        <v>293</v>
      </c>
      <c r="AA4" s="137" t="s">
        <v>135</v>
      </c>
      <c r="AB4" s="137" t="s">
        <v>304</v>
      </c>
      <c r="AC4" s="137" t="s">
        <v>444</v>
      </c>
      <c r="AD4" s="137" t="s">
        <v>445</v>
      </c>
      <c r="AE4" s="137" t="s">
        <v>53</v>
      </c>
      <c r="AF4" s="137" t="s">
        <v>446</v>
      </c>
      <c r="AG4" s="137" t="s">
        <v>17</v>
      </c>
    </row>
    <row r="5" spans="2:33" ht="22.5" customHeight="1">
      <c r="B5" s="137">
        <v>1</v>
      </c>
      <c r="C5" s="138"/>
      <c r="D5" s="139" t="s">
        <v>443</v>
      </c>
      <c r="E5" s="139" t="s">
        <v>293</v>
      </c>
      <c r="F5" s="139" t="s">
        <v>135</v>
      </c>
      <c r="G5" s="139" t="s">
        <v>304</v>
      </c>
      <c r="H5" s="139" t="s">
        <v>444</v>
      </c>
      <c r="I5" s="139" t="s">
        <v>445</v>
      </c>
      <c r="J5" s="139" t="s">
        <v>53</v>
      </c>
      <c r="K5" s="140"/>
      <c r="M5" s="137">
        <v>1</v>
      </c>
      <c r="N5" s="138"/>
      <c r="O5" s="140"/>
      <c r="P5" s="140"/>
      <c r="Q5" s="140"/>
      <c r="R5" s="140"/>
      <c r="S5" s="140"/>
      <c r="T5" s="140"/>
      <c r="U5" s="140"/>
      <c r="V5" s="140"/>
      <c r="X5" s="137">
        <v>1</v>
      </c>
      <c r="Y5" s="141"/>
      <c r="Z5" s="141"/>
      <c r="AA5" s="140"/>
      <c r="AB5" s="140"/>
      <c r="AC5" s="142" t="s">
        <v>69</v>
      </c>
      <c r="AD5" s="140"/>
      <c r="AE5" s="140"/>
      <c r="AF5" s="140"/>
      <c r="AG5" s="140"/>
    </row>
    <row r="6" spans="2:33" ht="22.5" customHeight="1">
      <c r="B6" s="137">
        <v>2</v>
      </c>
      <c r="C6" s="139">
        <v>1</v>
      </c>
      <c r="D6" s="143" t="s">
        <v>447</v>
      </c>
      <c r="E6" s="143" t="s">
        <v>448</v>
      </c>
      <c r="F6" s="143" t="s">
        <v>449</v>
      </c>
      <c r="G6" s="143" t="s">
        <v>450</v>
      </c>
      <c r="H6" s="144" t="s">
        <v>451</v>
      </c>
      <c r="I6" s="145" t="s">
        <v>452</v>
      </c>
      <c r="J6" s="145" t="s">
        <v>453</v>
      </c>
      <c r="K6" s="140"/>
      <c r="M6" s="137">
        <v>2</v>
      </c>
      <c r="N6" s="140"/>
      <c r="O6" s="146" t="s">
        <v>454</v>
      </c>
      <c r="P6" s="146" t="s">
        <v>455</v>
      </c>
      <c r="Q6" s="146" t="s">
        <v>456</v>
      </c>
      <c r="R6" s="146" t="s">
        <v>457</v>
      </c>
      <c r="S6" s="146" t="s">
        <v>458</v>
      </c>
      <c r="T6" s="146" t="s">
        <v>459</v>
      </c>
      <c r="U6" s="146" t="s">
        <v>460</v>
      </c>
      <c r="V6" s="140"/>
      <c r="X6" s="137">
        <v>2</v>
      </c>
      <c r="Y6" s="140"/>
      <c r="Z6" s="146"/>
      <c r="AA6" s="146"/>
      <c r="AB6" s="146"/>
      <c r="AC6" s="146"/>
      <c r="AD6" s="146"/>
      <c r="AE6" s="146"/>
      <c r="AF6" s="146"/>
      <c r="AG6" s="140"/>
    </row>
    <row r="7" spans="2:33" ht="22.5" customHeight="1">
      <c r="B7" s="137">
        <v>3</v>
      </c>
      <c r="C7" s="139">
        <v>2</v>
      </c>
      <c r="D7" s="144" t="s">
        <v>461</v>
      </c>
      <c r="E7" s="147" t="s">
        <v>462</v>
      </c>
      <c r="F7" s="147" t="s">
        <v>463</v>
      </c>
      <c r="G7" s="144" t="s">
        <v>464</v>
      </c>
      <c r="H7" s="148" t="s">
        <v>465</v>
      </c>
      <c r="I7" s="144" t="s">
        <v>466</v>
      </c>
      <c r="J7" s="149" t="s">
        <v>467</v>
      </c>
      <c r="K7" s="140"/>
      <c r="M7" s="137">
        <v>3</v>
      </c>
      <c r="N7" s="140"/>
      <c r="O7" s="146" t="s">
        <v>468</v>
      </c>
      <c r="P7" s="146" t="s">
        <v>469</v>
      </c>
      <c r="Q7" s="146" t="s">
        <v>470</v>
      </c>
      <c r="R7" s="146" t="s">
        <v>471</v>
      </c>
      <c r="S7" s="146" t="s">
        <v>472</v>
      </c>
      <c r="T7" s="146" t="s">
        <v>473</v>
      </c>
      <c r="U7" s="146" t="s">
        <v>474</v>
      </c>
      <c r="V7" s="140"/>
      <c r="X7" s="137">
        <v>3</v>
      </c>
      <c r="Y7" s="140"/>
      <c r="Z7" s="146"/>
      <c r="AA7" s="150" t="s">
        <v>475</v>
      </c>
      <c r="AB7" s="150" t="s">
        <v>476</v>
      </c>
      <c r="AC7" s="146" t="s">
        <v>478</v>
      </c>
      <c r="AD7" s="151" t="s">
        <v>479</v>
      </c>
      <c r="AE7" s="153" t="s">
        <v>480</v>
      </c>
      <c r="AF7" s="146"/>
      <c r="AG7" s="140"/>
    </row>
    <row r="8" spans="2:33" ht="22.5" customHeight="1">
      <c r="B8" s="137">
        <v>4</v>
      </c>
      <c r="C8" s="139">
        <v>3</v>
      </c>
      <c r="D8" s="143" t="s">
        <v>483</v>
      </c>
      <c r="E8" s="143" t="s">
        <v>485</v>
      </c>
      <c r="F8" s="149" t="s">
        <v>486</v>
      </c>
      <c r="G8" s="143" t="s">
        <v>487</v>
      </c>
      <c r="H8" s="144" t="s">
        <v>488</v>
      </c>
      <c r="I8" s="148" t="s">
        <v>489</v>
      </c>
      <c r="J8" s="149" t="s">
        <v>490</v>
      </c>
      <c r="K8" s="140"/>
      <c r="M8" s="137">
        <v>4</v>
      </c>
      <c r="N8" s="140"/>
      <c r="O8" s="146" t="s">
        <v>491</v>
      </c>
      <c r="P8" s="146" t="s">
        <v>492</v>
      </c>
      <c r="Q8" s="146" t="s">
        <v>493</v>
      </c>
      <c r="R8" s="146" t="s">
        <v>494</v>
      </c>
      <c r="S8" s="146" t="s">
        <v>495</v>
      </c>
      <c r="T8" s="146" t="s">
        <v>496</v>
      </c>
      <c r="U8" s="146" t="s">
        <v>497</v>
      </c>
      <c r="V8" s="140"/>
      <c r="X8" s="137">
        <v>4</v>
      </c>
      <c r="Y8" s="140"/>
      <c r="Z8" s="146"/>
      <c r="AA8" s="150" t="s">
        <v>498</v>
      </c>
      <c r="AB8" s="150" t="s">
        <v>499</v>
      </c>
      <c r="AC8" s="150" t="s">
        <v>500</v>
      </c>
      <c r="AD8" s="150" t="s">
        <v>501</v>
      </c>
      <c r="AE8" s="155" t="s">
        <v>502</v>
      </c>
      <c r="AF8" s="146"/>
      <c r="AG8" s="140"/>
    </row>
    <row r="9" spans="2:33" ht="22.5" customHeight="1">
      <c r="B9" s="137">
        <v>5</v>
      </c>
      <c r="C9" s="139">
        <v>4</v>
      </c>
      <c r="D9" s="147" t="s">
        <v>511</v>
      </c>
      <c r="E9" s="143" t="s">
        <v>512</v>
      </c>
      <c r="F9" s="144" t="s">
        <v>513</v>
      </c>
      <c r="G9" s="156"/>
      <c r="H9" s="148" t="s">
        <v>514</v>
      </c>
      <c r="I9" s="143" t="s">
        <v>515</v>
      </c>
      <c r="J9" s="148" t="s">
        <v>516</v>
      </c>
      <c r="K9" s="140"/>
      <c r="M9" s="137">
        <v>5</v>
      </c>
      <c r="N9" s="140"/>
      <c r="O9" s="146" t="s">
        <v>517</v>
      </c>
      <c r="P9" s="146" t="s">
        <v>518</v>
      </c>
      <c r="Q9" s="146" t="s">
        <v>519</v>
      </c>
      <c r="R9" s="156"/>
      <c r="S9" s="146" t="s">
        <v>520</v>
      </c>
      <c r="T9" s="146" t="s">
        <v>522</v>
      </c>
      <c r="U9" s="146" t="s">
        <v>523</v>
      </c>
      <c r="V9" s="140"/>
      <c r="X9" s="137">
        <v>5</v>
      </c>
      <c r="Y9" s="140"/>
      <c r="Z9" s="146"/>
      <c r="AA9" s="150" t="s">
        <v>524</v>
      </c>
      <c r="AB9" s="155" t="s">
        <v>525</v>
      </c>
      <c r="AC9" s="150" t="s">
        <v>526</v>
      </c>
      <c r="AD9" s="150" t="s">
        <v>527</v>
      </c>
      <c r="AE9" s="157"/>
      <c r="AF9" s="146"/>
      <c r="AG9" s="140"/>
    </row>
    <row r="10" spans="2:33" ht="22.5" customHeight="1">
      <c r="B10" s="137">
        <v>6</v>
      </c>
      <c r="C10" s="139">
        <v>5</v>
      </c>
      <c r="D10" s="143" t="s">
        <v>528</v>
      </c>
      <c r="E10" s="143" t="s">
        <v>529</v>
      </c>
      <c r="F10" s="147" t="s">
        <v>530</v>
      </c>
      <c r="G10" s="147" t="s">
        <v>531</v>
      </c>
      <c r="H10" s="148" t="s">
        <v>532</v>
      </c>
      <c r="I10" s="147" t="s">
        <v>533</v>
      </c>
      <c r="J10" s="145" t="s">
        <v>534</v>
      </c>
      <c r="K10" s="140"/>
      <c r="M10" s="137">
        <v>6</v>
      </c>
      <c r="N10" s="140"/>
      <c r="O10" s="146" t="s">
        <v>535</v>
      </c>
      <c r="P10" s="146" t="s">
        <v>536</v>
      </c>
      <c r="Q10" s="158" t="s">
        <v>537</v>
      </c>
      <c r="R10" s="146" t="s">
        <v>538</v>
      </c>
      <c r="S10" s="146" t="s">
        <v>539</v>
      </c>
      <c r="T10" s="146" t="s">
        <v>540</v>
      </c>
      <c r="U10" s="146" t="s">
        <v>541</v>
      </c>
      <c r="V10" s="140"/>
      <c r="X10" s="137">
        <v>6</v>
      </c>
      <c r="Y10" s="140"/>
      <c r="Z10" s="159"/>
      <c r="AA10" s="160" t="s">
        <v>542</v>
      </c>
      <c r="AB10" s="153" t="s">
        <v>543</v>
      </c>
      <c r="AC10" s="160" t="s">
        <v>544</v>
      </c>
      <c r="AD10" s="153" t="s">
        <v>545</v>
      </c>
      <c r="AE10" s="153" t="s">
        <v>546</v>
      </c>
      <c r="AF10" s="159"/>
      <c r="AG10" s="140"/>
    </row>
    <row r="11" spans="2:33" ht="22.5" customHeight="1">
      <c r="B11" s="137">
        <v>7</v>
      </c>
      <c r="C11" s="139">
        <v>6</v>
      </c>
      <c r="D11" s="143" t="s">
        <v>547</v>
      </c>
      <c r="E11" s="143" t="s">
        <v>548</v>
      </c>
      <c r="F11" s="143" t="s">
        <v>549</v>
      </c>
      <c r="G11" s="148" t="s">
        <v>550</v>
      </c>
      <c r="H11" s="147" t="s">
        <v>551</v>
      </c>
      <c r="I11" s="147" t="s">
        <v>552</v>
      </c>
      <c r="J11" s="143" t="s">
        <v>553</v>
      </c>
      <c r="K11" s="140"/>
      <c r="M11" s="137">
        <v>7</v>
      </c>
      <c r="N11" s="140"/>
      <c r="O11" s="146" t="s">
        <v>554</v>
      </c>
      <c r="P11" s="146" t="s">
        <v>555</v>
      </c>
      <c r="Q11" s="146" t="s">
        <v>556</v>
      </c>
      <c r="R11" s="146" t="s">
        <v>557</v>
      </c>
      <c r="S11" s="158" t="s">
        <v>558</v>
      </c>
      <c r="T11" s="146" t="s">
        <v>559</v>
      </c>
      <c r="U11" s="158" t="s">
        <v>560</v>
      </c>
      <c r="V11" s="140"/>
      <c r="X11" s="137">
        <v>7</v>
      </c>
      <c r="Y11" s="140"/>
      <c r="Z11" s="159"/>
      <c r="AA11" s="150" t="s">
        <v>561</v>
      </c>
      <c r="AB11" s="153" t="s">
        <v>562</v>
      </c>
      <c r="AC11" s="153" t="s">
        <v>563</v>
      </c>
      <c r="AD11" s="160" t="s">
        <v>564</v>
      </c>
      <c r="AE11" s="153" t="s">
        <v>565</v>
      </c>
      <c r="AF11" s="159"/>
      <c r="AG11" s="140"/>
    </row>
    <row r="12" spans="2:33" ht="22.5" customHeight="1">
      <c r="B12" s="137">
        <v>8</v>
      </c>
      <c r="C12" s="139">
        <v>7</v>
      </c>
      <c r="D12" s="143" t="s">
        <v>566</v>
      </c>
      <c r="E12" s="147" t="s">
        <v>567</v>
      </c>
      <c r="F12" s="144" t="s">
        <v>568</v>
      </c>
      <c r="G12" s="147" t="s">
        <v>569</v>
      </c>
      <c r="H12" s="144" t="s">
        <v>570</v>
      </c>
      <c r="I12" s="147" t="s">
        <v>571</v>
      </c>
      <c r="J12" s="143" t="s">
        <v>572</v>
      </c>
      <c r="K12" s="140"/>
      <c r="M12" s="137">
        <v>8</v>
      </c>
      <c r="N12" s="140"/>
      <c r="O12" s="146" t="s">
        <v>573</v>
      </c>
      <c r="P12" s="158" t="s">
        <v>574</v>
      </c>
      <c r="Q12" s="146" t="s">
        <v>575</v>
      </c>
      <c r="R12" s="158" t="s">
        <v>576</v>
      </c>
      <c r="S12" s="158" t="s">
        <v>577</v>
      </c>
      <c r="T12" s="146" t="s">
        <v>578</v>
      </c>
      <c r="U12" s="146" t="s">
        <v>579</v>
      </c>
      <c r="V12" s="140"/>
      <c r="X12" s="137">
        <v>8</v>
      </c>
      <c r="Y12" s="140"/>
      <c r="Z12" s="159"/>
      <c r="AA12" s="159"/>
      <c r="AB12" s="159"/>
      <c r="AC12" s="159"/>
      <c r="AD12" s="159"/>
      <c r="AE12" s="159"/>
      <c r="AF12" s="159"/>
      <c r="AG12" s="140"/>
    </row>
    <row r="13" spans="2:33" ht="22.5" customHeight="1">
      <c r="B13" s="137">
        <v>9</v>
      </c>
      <c r="C13" s="140"/>
      <c r="D13" s="140"/>
      <c r="E13" s="140"/>
      <c r="F13" s="140"/>
      <c r="G13" s="140"/>
      <c r="H13" s="140"/>
      <c r="I13" s="140"/>
      <c r="J13" s="140"/>
      <c r="K13" s="140"/>
      <c r="M13" s="137">
        <v>9</v>
      </c>
      <c r="N13" s="140"/>
      <c r="O13" s="140"/>
      <c r="P13" s="140"/>
      <c r="Q13" s="140"/>
      <c r="R13" s="140"/>
      <c r="S13" s="140"/>
      <c r="T13" s="140"/>
      <c r="U13" s="140"/>
      <c r="V13" s="140"/>
      <c r="X13" s="137">
        <v>9</v>
      </c>
      <c r="Y13" s="140"/>
      <c r="Z13" s="140"/>
      <c r="AA13" s="140"/>
      <c r="AB13" s="140"/>
      <c r="AC13" s="140"/>
      <c r="AD13" s="140"/>
      <c r="AE13" s="140"/>
      <c r="AF13" s="140"/>
      <c r="AG13" s="140"/>
    </row>
    <row r="15" spans="2:33" ht="16">
      <c r="C15" s="29" t="s">
        <v>580</v>
      </c>
      <c r="D15" s="29">
        <v>498.75</v>
      </c>
      <c r="E15" s="92">
        <v>535.096</v>
      </c>
      <c r="F15" s="92">
        <v>378.51600000000002</v>
      </c>
      <c r="G15" s="92" t="s">
        <v>581</v>
      </c>
      <c r="H15" s="92">
        <v>280.125</v>
      </c>
      <c r="I15" s="92">
        <v>288</v>
      </c>
      <c r="J15" s="92">
        <v>240.375</v>
      </c>
      <c r="K15" s="29" t="s">
        <v>582</v>
      </c>
      <c r="O15" s="92">
        <v>190.97200000000001</v>
      </c>
      <c r="P15" s="92">
        <v>165.203</v>
      </c>
      <c r="Q15" s="161">
        <v>193</v>
      </c>
      <c r="R15" s="141"/>
      <c r="S15" s="92">
        <v>157.125</v>
      </c>
      <c r="T15" s="92">
        <v>172.44300000000001</v>
      </c>
      <c r="U15" s="92">
        <v>203.625</v>
      </c>
      <c r="W15" s="92" t="s">
        <v>583</v>
      </c>
      <c r="AC15" s="29" t="s">
        <v>584</v>
      </c>
    </row>
    <row r="16" spans="2:33" ht="16">
      <c r="D16" s="29">
        <v>281.25</v>
      </c>
      <c r="E16" s="29">
        <v>176.25</v>
      </c>
      <c r="F16" s="29">
        <v>220.739</v>
      </c>
      <c r="G16" s="29" t="s">
        <v>585</v>
      </c>
      <c r="H16" s="29">
        <v>302.00900000000001</v>
      </c>
      <c r="I16" s="29">
        <v>293.09199999999998</v>
      </c>
      <c r="J16" s="29">
        <v>347.81299999999999</v>
      </c>
      <c r="O16" s="162">
        <v>188</v>
      </c>
      <c r="P16" s="162">
        <v>213</v>
      </c>
      <c r="Q16" s="162">
        <v>171</v>
      </c>
      <c r="R16" s="162">
        <v>224</v>
      </c>
      <c r="S16" s="162">
        <v>190</v>
      </c>
      <c r="T16" s="162">
        <v>131.786</v>
      </c>
      <c r="U16" s="92">
        <v>163.08099999999999</v>
      </c>
      <c r="W16" s="162" t="s">
        <v>587</v>
      </c>
      <c r="AA16" s="163">
        <v>31.5</v>
      </c>
      <c r="AB16" s="163">
        <v>34.1</v>
      </c>
      <c r="AC16" s="164"/>
      <c r="AD16" s="163">
        <v>39.700000000000003</v>
      </c>
      <c r="AE16" s="163">
        <v>33.6</v>
      </c>
    </row>
    <row r="17" spans="1:31" ht="16">
      <c r="D17" s="29">
        <v>359.55900000000003</v>
      </c>
      <c r="E17" s="29">
        <v>491.25</v>
      </c>
      <c r="F17" s="29">
        <v>181.434</v>
      </c>
      <c r="G17" s="29">
        <v>384.375</v>
      </c>
      <c r="H17" s="29">
        <v>294.952</v>
      </c>
      <c r="I17" s="29">
        <v>289.45299999999997</v>
      </c>
      <c r="J17" s="29" t="s">
        <v>588</v>
      </c>
      <c r="O17" s="92">
        <v>216</v>
      </c>
      <c r="P17" s="92">
        <v>211</v>
      </c>
      <c r="Q17" s="162">
        <v>232</v>
      </c>
      <c r="R17" s="162">
        <v>188</v>
      </c>
      <c r="S17" s="162">
        <v>216</v>
      </c>
      <c r="T17" s="162">
        <v>153</v>
      </c>
      <c r="U17" s="92">
        <v>136.70099999999999</v>
      </c>
      <c r="W17" s="161" t="s">
        <v>589</v>
      </c>
      <c r="AA17" s="163">
        <v>37.6</v>
      </c>
      <c r="AB17" s="163">
        <v>33.1</v>
      </c>
      <c r="AC17" s="163">
        <v>34.299999999999997</v>
      </c>
      <c r="AD17" s="165">
        <v>42.7</v>
      </c>
      <c r="AE17" s="163" t="s">
        <v>590</v>
      </c>
    </row>
    <row r="18" spans="1:31" ht="16">
      <c r="D18" s="29">
        <v>198.88399999999999</v>
      </c>
      <c r="E18" s="29" t="s">
        <v>591</v>
      </c>
      <c r="F18" s="29">
        <v>278.49299999999999</v>
      </c>
      <c r="H18" s="29">
        <v>205.72900000000001</v>
      </c>
      <c r="I18" s="29">
        <v>152.20599999999999</v>
      </c>
      <c r="J18" s="29">
        <v>236.71899999999999</v>
      </c>
      <c r="O18" s="92">
        <v>175.07300000000001</v>
      </c>
      <c r="P18" s="92">
        <v>136.91900000000001</v>
      </c>
      <c r="Q18" s="141"/>
      <c r="R18" s="141"/>
      <c r="S18" s="162">
        <v>192</v>
      </c>
      <c r="T18" s="92">
        <v>109.21899999999999</v>
      </c>
      <c r="U18" s="162">
        <v>154</v>
      </c>
      <c r="W18" s="19" t="s">
        <v>592</v>
      </c>
      <c r="AA18" s="163">
        <v>34.24</v>
      </c>
      <c r="AB18" s="163">
        <v>30.2</v>
      </c>
      <c r="AC18" s="163">
        <v>40.1</v>
      </c>
      <c r="AD18" s="163">
        <v>36</v>
      </c>
      <c r="AE18" s="164"/>
    </row>
    <row r="19" spans="1:31" ht="16">
      <c r="D19" s="29">
        <v>225</v>
      </c>
      <c r="E19" s="29">
        <v>182.81299999999999</v>
      </c>
      <c r="F19" s="29">
        <v>277.94099999999997</v>
      </c>
      <c r="G19" s="29">
        <v>213.41900000000001</v>
      </c>
      <c r="H19" s="29" t="s">
        <v>585</v>
      </c>
      <c r="I19" s="29">
        <v>360.66199999999998</v>
      </c>
      <c r="J19" s="29">
        <v>250.446</v>
      </c>
      <c r="O19" s="92">
        <v>135</v>
      </c>
      <c r="P19" s="92">
        <v>156</v>
      </c>
      <c r="Q19" s="92">
        <v>158</v>
      </c>
      <c r="R19" s="162">
        <v>206</v>
      </c>
      <c r="S19" s="92">
        <v>177.471</v>
      </c>
      <c r="T19" s="92">
        <v>142.5</v>
      </c>
      <c r="U19" s="92">
        <v>185.98</v>
      </c>
      <c r="W19" s="15" t="s">
        <v>593</v>
      </c>
      <c r="AA19" s="166">
        <v>26.88</v>
      </c>
      <c r="AB19" s="163">
        <v>51.6</v>
      </c>
      <c r="AC19" s="167" t="s">
        <v>580</v>
      </c>
      <c r="AD19" s="163">
        <v>36.5</v>
      </c>
      <c r="AE19" s="163">
        <v>35.299999999999997</v>
      </c>
    </row>
    <row r="20" spans="1:31" ht="16">
      <c r="D20" s="29">
        <v>225.58600000000001</v>
      </c>
      <c r="E20" s="29">
        <v>153.125</v>
      </c>
      <c r="F20" s="29">
        <v>189.47399999999999</v>
      </c>
      <c r="G20" s="29" t="s">
        <v>585</v>
      </c>
      <c r="H20" s="29">
        <v>140.625</v>
      </c>
      <c r="I20" s="29">
        <v>213.75</v>
      </c>
      <c r="J20" s="29">
        <v>350.89299999999997</v>
      </c>
      <c r="O20" s="92">
        <v>201.43600000000001</v>
      </c>
      <c r="P20" s="92">
        <v>182.81200000000001</v>
      </c>
      <c r="Q20" s="162">
        <v>184</v>
      </c>
      <c r="R20" s="92">
        <v>169.554</v>
      </c>
      <c r="S20" s="92">
        <v>139.167</v>
      </c>
      <c r="T20" s="92">
        <v>186.875</v>
      </c>
      <c r="U20" s="92">
        <v>152.917</v>
      </c>
      <c r="AA20" s="163">
        <v>32.979999999999997</v>
      </c>
      <c r="AB20" s="163">
        <v>38.299999999999997</v>
      </c>
      <c r="AC20" s="163">
        <v>44.2</v>
      </c>
      <c r="AD20" s="166">
        <v>30.99</v>
      </c>
      <c r="AE20" s="163">
        <v>27.11</v>
      </c>
    </row>
    <row r="21" spans="1:31" ht="16">
      <c r="D21" s="29">
        <v>367.5</v>
      </c>
      <c r="E21" s="29">
        <v>318.75</v>
      </c>
      <c r="F21" s="29">
        <v>252.45500000000001</v>
      </c>
      <c r="G21" s="29">
        <v>490.31200000000001</v>
      </c>
      <c r="H21" s="29">
        <v>362.81299999999999</v>
      </c>
      <c r="I21" s="29">
        <v>225.625</v>
      </c>
      <c r="J21" s="29">
        <v>273.75</v>
      </c>
      <c r="O21" s="92">
        <v>175.084</v>
      </c>
      <c r="P21" s="92">
        <v>161.119</v>
      </c>
      <c r="Q21" s="92">
        <v>183.75</v>
      </c>
      <c r="R21" s="92">
        <v>160</v>
      </c>
      <c r="S21" s="92">
        <v>160.68299999999999</v>
      </c>
      <c r="T21" s="92">
        <v>193.125</v>
      </c>
      <c r="U21" s="92">
        <v>147.18799999999999</v>
      </c>
    </row>
    <row r="24" spans="1:31" ht="16">
      <c r="B24" s="29" t="s">
        <v>594</v>
      </c>
      <c r="W24" s="29" t="s">
        <v>595</v>
      </c>
      <c r="X24" s="29" t="s">
        <v>596</v>
      </c>
    </row>
    <row r="25" spans="1:31" ht="16">
      <c r="B25" s="29" t="s">
        <v>122</v>
      </c>
      <c r="W25" s="29">
        <v>0.65</v>
      </c>
      <c r="X25" s="29">
        <v>55.85</v>
      </c>
    </row>
    <row r="26" spans="1:31" ht="24.75" customHeight="1">
      <c r="B26" s="136"/>
      <c r="C26" s="137" t="s">
        <v>175</v>
      </c>
      <c r="D26" s="137" t="s">
        <v>14</v>
      </c>
      <c r="E26" s="137" t="s">
        <v>32</v>
      </c>
      <c r="F26" s="137" t="s">
        <v>34</v>
      </c>
      <c r="G26" s="137" t="s">
        <v>38</v>
      </c>
      <c r="H26" s="137" t="s">
        <v>40</v>
      </c>
      <c r="I26" s="137" t="s">
        <v>42</v>
      </c>
      <c r="J26" s="137" t="s">
        <v>43</v>
      </c>
      <c r="K26" s="137" t="s">
        <v>47</v>
      </c>
      <c r="W26" s="29">
        <v>0.25</v>
      </c>
      <c r="X26" s="29">
        <v>16</v>
      </c>
    </row>
    <row r="27" spans="1:31" ht="24.75" customHeight="1">
      <c r="A27" s="29" t="s">
        <v>597</v>
      </c>
      <c r="B27" s="137">
        <v>1</v>
      </c>
      <c r="C27" s="168"/>
      <c r="D27" s="146" t="s">
        <v>598</v>
      </c>
      <c r="E27" s="146" t="s">
        <v>599</v>
      </c>
      <c r="F27" s="146" t="s">
        <v>600</v>
      </c>
      <c r="G27" s="146" t="s">
        <v>601</v>
      </c>
      <c r="H27" s="146" t="s">
        <v>602</v>
      </c>
      <c r="I27" s="146" t="s">
        <v>603</v>
      </c>
      <c r="J27" s="146" t="s">
        <v>604</v>
      </c>
      <c r="K27" s="29" t="s">
        <v>605</v>
      </c>
      <c r="V27" s="29" t="s">
        <v>606</v>
      </c>
      <c r="W27">
        <f t="shared" ref="W27:X27" si="0">W25/W26</f>
        <v>2.6</v>
      </c>
      <c r="X27">
        <f t="shared" si="0"/>
        <v>3.4906250000000001</v>
      </c>
    </row>
    <row r="28" spans="1:31" ht="24.75" customHeight="1">
      <c r="A28" s="29" t="s">
        <v>607</v>
      </c>
      <c r="B28" s="137">
        <v>2</v>
      </c>
      <c r="C28" s="140"/>
      <c r="D28" s="146" t="s">
        <v>608</v>
      </c>
      <c r="E28" s="146" t="s">
        <v>608</v>
      </c>
      <c r="F28" s="146" t="s">
        <v>608</v>
      </c>
      <c r="G28" s="146" t="s">
        <v>608</v>
      </c>
      <c r="H28" s="146" t="s">
        <v>608</v>
      </c>
      <c r="I28" s="146" t="s">
        <v>608</v>
      </c>
      <c r="J28" s="146" t="s">
        <v>608</v>
      </c>
      <c r="K28" s="29" t="s">
        <v>608</v>
      </c>
    </row>
    <row r="29" spans="1:31" ht="24.75" customHeight="1">
      <c r="A29" s="29" t="s">
        <v>609</v>
      </c>
      <c r="B29" s="137">
        <v>3</v>
      </c>
      <c r="C29" s="140"/>
      <c r="D29" s="146" t="s">
        <v>608</v>
      </c>
      <c r="E29" s="146" t="s">
        <v>608</v>
      </c>
      <c r="F29" s="146" t="s">
        <v>608</v>
      </c>
      <c r="G29" s="146" t="s">
        <v>608</v>
      </c>
      <c r="H29" s="146" t="s">
        <v>608</v>
      </c>
      <c r="I29" s="146" t="s">
        <v>610</v>
      </c>
      <c r="J29" s="146" t="s">
        <v>611</v>
      </c>
      <c r="K29" s="29" t="s">
        <v>612</v>
      </c>
    </row>
    <row r="30" spans="1:31" ht="24.75" customHeight="1">
      <c r="A30" s="29" t="s">
        <v>613</v>
      </c>
      <c r="B30" s="137">
        <v>4</v>
      </c>
      <c r="C30" s="140"/>
      <c r="D30" s="146" t="s">
        <v>608</v>
      </c>
      <c r="E30" s="146" t="s">
        <v>608</v>
      </c>
      <c r="F30" s="146" t="s">
        <v>608</v>
      </c>
      <c r="G30" s="146" t="s">
        <v>608</v>
      </c>
      <c r="H30" s="146" t="s">
        <v>608</v>
      </c>
      <c r="I30" s="146" t="s">
        <v>608</v>
      </c>
      <c r="J30" s="146" t="s">
        <v>608</v>
      </c>
      <c r="K30" s="29" t="s">
        <v>614</v>
      </c>
    </row>
    <row r="31" spans="1:31" ht="24.75" customHeight="1">
      <c r="A31" s="169" t="s">
        <v>615</v>
      </c>
      <c r="B31" s="137">
        <v>5</v>
      </c>
      <c r="C31" s="140"/>
      <c r="D31" s="146" t="s">
        <v>608</v>
      </c>
      <c r="E31" s="146" t="s">
        <v>608</v>
      </c>
      <c r="F31" s="146" t="s">
        <v>608</v>
      </c>
      <c r="G31" s="146" t="s">
        <v>608</v>
      </c>
      <c r="H31" s="146" t="s">
        <v>608</v>
      </c>
      <c r="I31" s="146" t="s">
        <v>608</v>
      </c>
      <c r="J31" s="146" t="s">
        <v>608</v>
      </c>
      <c r="K31" s="29" t="s">
        <v>616</v>
      </c>
    </row>
    <row r="32" spans="1:31" ht="30" customHeight="1">
      <c r="B32" s="137">
        <v>6</v>
      </c>
      <c r="C32" s="140"/>
      <c r="D32" s="146" t="s">
        <v>608</v>
      </c>
      <c r="E32" s="146" t="s">
        <v>608</v>
      </c>
      <c r="F32" s="146" t="s">
        <v>608</v>
      </c>
      <c r="G32" s="146" t="s">
        <v>608</v>
      </c>
      <c r="H32" s="146" t="s">
        <v>617</v>
      </c>
      <c r="I32" s="170" t="s">
        <v>618</v>
      </c>
      <c r="J32" s="146" t="s">
        <v>619</v>
      </c>
      <c r="K32" s="29" t="s">
        <v>608</v>
      </c>
    </row>
    <row r="33" spans="2:11" ht="24.75" customHeight="1">
      <c r="B33" s="29"/>
      <c r="D33" s="146"/>
      <c r="E33" s="146"/>
      <c r="F33" s="146"/>
      <c r="G33" s="146"/>
      <c r="H33" s="146"/>
      <c r="I33" s="146"/>
      <c r="J33" s="146"/>
    </row>
    <row r="34" spans="2:11" ht="30" customHeight="1">
      <c r="B34" s="29" t="s">
        <v>125</v>
      </c>
    </row>
    <row r="35" spans="2:11" ht="30" customHeight="1">
      <c r="B35" s="136"/>
      <c r="C35" s="137" t="s">
        <v>175</v>
      </c>
      <c r="D35" s="137" t="s">
        <v>14</v>
      </c>
      <c r="E35" s="137" t="s">
        <v>32</v>
      </c>
      <c r="F35" s="137" t="s">
        <v>34</v>
      </c>
      <c r="G35" s="137" t="s">
        <v>38</v>
      </c>
      <c r="H35" s="137" t="s">
        <v>40</v>
      </c>
      <c r="I35" s="137" t="s">
        <v>42</v>
      </c>
      <c r="J35" s="137" t="s">
        <v>43</v>
      </c>
      <c r="K35" s="29"/>
    </row>
    <row r="36" spans="2:11" ht="30" customHeight="1">
      <c r="B36" s="137">
        <v>1</v>
      </c>
      <c r="C36" s="168"/>
      <c r="D36" s="146" t="s">
        <v>608</v>
      </c>
      <c r="E36" s="146" t="s">
        <v>608</v>
      </c>
      <c r="F36" s="146" t="s">
        <v>608</v>
      </c>
      <c r="G36" s="146" t="s">
        <v>608</v>
      </c>
      <c r="H36" s="146" t="s">
        <v>608</v>
      </c>
      <c r="I36" s="146" t="s">
        <v>620</v>
      </c>
      <c r="J36" s="146" t="s">
        <v>608</v>
      </c>
    </row>
    <row r="37" spans="2:11" ht="30" customHeight="1">
      <c r="B37" s="137">
        <v>2</v>
      </c>
      <c r="C37" s="140"/>
      <c r="D37" s="146" t="s">
        <v>608</v>
      </c>
      <c r="E37" s="146" t="s">
        <v>608</v>
      </c>
      <c r="F37" s="146" t="s">
        <v>608</v>
      </c>
      <c r="G37" s="146" t="s">
        <v>608</v>
      </c>
      <c r="H37" s="146" t="s">
        <v>608</v>
      </c>
      <c r="I37" s="146" t="s">
        <v>608</v>
      </c>
      <c r="J37" s="146" t="s">
        <v>608</v>
      </c>
    </row>
    <row r="38" spans="2:11" ht="30" customHeight="1">
      <c r="B38" s="137">
        <v>3</v>
      </c>
      <c r="C38" s="140"/>
      <c r="D38" s="146" t="s">
        <v>608</v>
      </c>
      <c r="E38" s="146" t="s">
        <v>608</v>
      </c>
      <c r="F38" s="146" t="s">
        <v>608</v>
      </c>
      <c r="G38" s="146" t="s">
        <v>608</v>
      </c>
      <c r="H38" s="146" t="s">
        <v>608</v>
      </c>
      <c r="I38" s="146" t="s">
        <v>621</v>
      </c>
      <c r="J38" s="146" t="s">
        <v>608</v>
      </c>
    </row>
    <row r="39" spans="2:11" ht="30" customHeight="1">
      <c r="B39" s="137">
        <v>4</v>
      </c>
      <c r="C39" s="140"/>
      <c r="D39" s="146" t="s">
        <v>608</v>
      </c>
      <c r="E39" s="146" t="s">
        <v>608</v>
      </c>
      <c r="F39" s="146" t="s">
        <v>608</v>
      </c>
      <c r="G39" s="146" t="s">
        <v>608</v>
      </c>
      <c r="H39" s="146" t="s">
        <v>608</v>
      </c>
      <c r="I39" s="146" t="s">
        <v>608</v>
      </c>
      <c r="J39" s="146" t="s">
        <v>608</v>
      </c>
    </row>
    <row r="40" spans="2:11" ht="30" customHeight="1">
      <c r="B40" s="137">
        <v>5</v>
      </c>
      <c r="C40" s="140"/>
      <c r="D40" s="146" t="s">
        <v>608</v>
      </c>
      <c r="E40" s="146" t="s">
        <v>608</v>
      </c>
      <c r="F40" s="146" t="s">
        <v>608</v>
      </c>
      <c r="G40" s="146" t="s">
        <v>608</v>
      </c>
      <c r="H40" s="146" t="s">
        <v>608</v>
      </c>
      <c r="I40" s="146" t="s">
        <v>608</v>
      </c>
      <c r="J40" s="146" t="s">
        <v>608</v>
      </c>
    </row>
    <row r="41" spans="2:11" ht="30" customHeight="1">
      <c r="B41" s="137">
        <v>6</v>
      </c>
      <c r="C41" s="140"/>
      <c r="D41" s="146" t="s">
        <v>608</v>
      </c>
      <c r="E41" s="146" t="s">
        <v>608</v>
      </c>
      <c r="F41" s="146" t="s">
        <v>608</v>
      </c>
      <c r="G41" s="146" t="s">
        <v>608</v>
      </c>
      <c r="H41" s="146" t="s">
        <v>608</v>
      </c>
      <c r="I41" s="170" t="s">
        <v>608</v>
      </c>
      <c r="J41" s="146" t="s">
        <v>608</v>
      </c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P1001"/>
  <sheetViews>
    <sheetView workbookViewId="0"/>
  </sheetViews>
  <sheetFormatPr baseColWidth="10" defaultColWidth="11.1640625" defaultRowHeight="15" customHeight="1"/>
  <cols>
    <col min="5" max="5" width="18.1640625" customWidth="1"/>
    <col min="8" max="8" width="12.5" customWidth="1"/>
    <col min="9" max="9" width="13.1640625" customWidth="1"/>
    <col min="12" max="12" width="15.1640625" customWidth="1"/>
  </cols>
  <sheetData>
    <row r="1" spans="1:16">
      <c r="A1" s="29" t="s">
        <v>477</v>
      </c>
      <c r="M1" s="152"/>
    </row>
    <row r="2" spans="1:16">
      <c r="M2" s="152"/>
    </row>
    <row r="3" spans="1:16">
      <c r="A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20"/>
      <c r="N3" s="29"/>
    </row>
    <row r="4" spans="1:16">
      <c r="A4" s="29" t="s">
        <v>195</v>
      </c>
      <c r="D4" s="98" t="s">
        <v>236</v>
      </c>
      <c r="E4" s="98" t="s">
        <v>237</v>
      </c>
      <c r="F4" s="98" t="s">
        <v>238</v>
      </c>
      <c r="G4" s="98" t="s">
        <v>481</v>
      </c>
      <c r="H4" s="98" t="s">
        <v>9</v>
      </c>
      <c r="I4" s="98" t="s">
        <v>482</v>
      </c>
      <c r="J4" s="98" t="s">
        <v>240</v>
      </c>
      <c r="K4" s="98" t="s">
        <v>241</v>
      </c>
      <c r="L4" s="98" t="s">
        <v>484</v>
      </c>
      <c r="M4" s="154" t="s">
        <v>243</v>
      </c>
      <c r="N4" s="98" t="s">
        <v>244</v>
      </c>
      <c r="O4" s="98" t="s">
        <v>245</v>
      </c>
      <c r="P4" s="98" t="s">
        <v>137</v>
      </c>
    </row>
    <row r="5" spans="1:16">
      <c r="A5" s="29" t="s">
        <v>503</v>
      </c>
      <c r="B5" s="29" t="s">
        <v>69</v>
      </c>
      <c r="D5" s="29" t="s">
        <v>247</v>
      </c>
      <c r="E5" s="29" t="s">
        <v>504</v>
      </c>
      <c r="F5" s="29" t="s">
        <v>249</v>
      </c>
      <c r="G5" s="29" t="s">
        <v>505</v>
      </c>
      <c r="H5" s="29" t="s">
        <v>251</v>
      </c>
      <c r="I5" s="29" t="s">
        <v>506</v>
      </c>
      <c r="J5" s="29" t="s">
        <v>252</v>
      </c>
      <c r="K5" s="29" t="s">
        <v>507</v>
      </c>
      <c r="L5" s="29" t="s">
        <v>508</v>
      </c>
      <c r="M5" s="120" t="s">
        <v>255</v>
      </c>
      <c r="N5" s="29" t="s">
        <v>256</v>
      </c>
      <c r="O5" s="29" t="s">
        <v>257</v>
      </c>
    </row>
    <row r="6" spans="1:16">
      <c r="A6" s="29" t="s">
        <v>509</v>
      </c>
      <c r="B6" s="29" t="s">
        <v>510</v>
      </c>
      <c r="D6" s="29">
        <v>17</v>
      </c>
      <c r="E6" s="29" t="s">
        <v>69</v>
      </c>
      <c r="F6" s="29" t="s">
        <v>521</v>
      </c>
      <c r="G6" s="29" t="s">
        <v>304</v>
      </c>
      <c r="H6" s="29" t="s">
        <v>266</v>
      </c>
      <c r="I6" s="29" t="s">
        <v>14</v>
      </c>
      <c r="J6" s="29">
        <v>1</v>
      </c>
      <c r="K6" s="29" t="s">
        <v>263</v>
      </c>
      <c r="L6" t="e">
        <f t="shared" ref="L6:L184" si="0">CONCATENATE(D6:I6,$B$27,J6,$B$27,K6)</f>
        <v>#VALUE!</v>
      </c>
      <c r="M6" s="120" t="str">
        <f t="shared" ref="M6:M184" si="1">CONCATENATE(J6,$B$27,K6)</f>
        <v>1_A1</v>
      </c>
    </row>
    <row r="7" spans="1:16">
      <c r="D7" s="29">
        <v>17</v>
      </c>
      <c r="E7" s="29" t="s">
        <v>69</v>
      </c>
      <c r="F7" s="29" t="s">
        <v>521</v>
      </c>
      <c r="G7" s="29" t="s">
        <v>304</v>
      </c>
      <c r="H7" s="29" t="s">
        <v>266</v>
      </c>
      <c r="I7" s="29" t="s">
        <v>14</v>
      </c>
      <c r="J7" s="29">
        <v>1</v>
      </c>
      <c r="K7" s="29" t="s">
        <v>267</v>
      </c>
      <c r="L7" t="e">
        <f t="shared" si="0"/>
        <v>#VALUE!</v>
      </c>
      <c r="M7" s="120" t="str">
        <f t="shared" si="1"/>
        <v>1_A2</v>
      </c>
    </row>
    <row r="8" spans="1:16">
      <c r="D8" s="29">
        <v>17</v>
      </c>
      <c r="E8" s="29" t="s">
        <v>69</v>
      </c>
      <c r="F8" s="29" t="s">
        <v>521</v>
      </c>
      <c r="G8" s="29" t="s">
        <v>304</v>
      </c>
      <c r="H8" s="29" t="s">
        <v>266</v>
      </c>
      <c r="I8" s="29" t="s">
        <v>14</v>
      </c>
      <c r="J8" s="29">
        <v>1</v>
      </c>
      <c r="K8" s="29" t="s">
        <v>271</v>
      </c>
      <c r="L8" t="e">
        <f t="shared" si="0"/>
        <v>#VALUE!</v>
      </c>
      <c r="M8" s="120" t="str">
        <f t="shared" si="1"/>
        <v>1_A3</v>
      </c>
    </row>
    <row r="9" spans="1:16">
      <c r="D9" s="29">
        <v>17</v>
      </c>
      <c r="E9" s="29" t="s">
        <v>69</v>
      </c>
      <c r="F9" s="29" t="s">
        <v>521</v>
      </c>
      <c r="G9" s="29" t="s">
        <v>304</v>
      </c>
      <c r="H9" s="29" t="s">
        <v>266</v>
      </c>
      <c r="I9" s="29" t="s">
        <v>14</v>
      </c>
      <c r="J9" s="29">
        <v>1</v>
      </c>
      <c r="K9" s="29" t="s">
        <v>276</v>
      </c>
      <c r="L9" t="e">
        <f t="shared" si="0"/>
        <v>#VALUE!</v>
      </c>
      <c r="M9" s="120" t="str">
        <f t="shared" si="1"/>
        <v>1_A4</v>
      </c>
    </row>
    <row r="10" spans="1:16">
      <c r="A10" s="29" t="s">
        <v>586</v>
      </c>
      <c r="D10" s="29">
        <v>17</v>
      </c>
      <c r="E10" s="29" t="s">
        <v>69</v>
      </c>
      <c r="F10" s="29" t="s">
        <v>521</v>
      </c>
      <c r="G10" s="29" t="s">
        <v>304</v>
      </c>
      <c r="H10" s="29" t="s">
        <v>266</v>
      </c>
      <c r="I10" s="29" t="s">
        <v>14</v>
      </c>
      <c r="J10" s="29">
        <v>1</v>
      </c>
      <c r="K10" s="29" t="s">
        <v>281</v>
      </c>
      <c r="L10" t="e">
        <f t="shared" si="0"/>
        <v>#VALUE!</v>
      </c>
      <c r="M10" s="120" t="str">
        <f t="shared" si="1"/>
        <v>1_A5</v>
      </c>
    </row>
    <row r="11" spans="1:16">
      <c r="A11" s="29" t="s">
        <v>231</v>
      </c>
      <c r="B11" s="29" t="s">
        <v>258</v>
      </c>
      <c r="D11" s="29">
        <v>17</v>
      </c>
      <c r="E11" s="29" t="s">
        <v>69</v>
      </c>
      <c r="F11" s="29" t="s">
        <v>521</v>
      </c>
      <c r="G11" s="29" t="s">
        <v>304</v>
      </c>
      <c r="H11" s="29" t="s">
        <v>266</v>
      </c>
      <c r="I11" s="29" t="s">
        <v>14</v>
      </c>
      <c r="J11" s="29">
        <v>1</v>
      </c>
      <c r="K11" s="29" t="s">
        <v>284</v>
      </c>
      <c r="L11" t="e">
        <f t="shared" si="0"/>
        <v>#VALUE!</v>
      </c>
      <c r="M11" s="120" t="str">
        <f t="shared" si="1"/>
        <v>1_A6</v>
      </c>
    </row>
    <row r="12" spans="1:16">
      <c r="A12" s="29" t="s">
        <v>232</v>
      </c>
      <c r="B12" s="29" t="s">
        <v>266</v>
      </c>
      <c r="D12" s="29">
        <v>17</v>
      </c>
      <c r="E12" s="29" t="s">
        <v>69</v>
      </c>
      <c r="F12" s="29" t="s">
        <v>521</v>
      </c>
      <c r="G12" s="29" t="s">
        <v>304</v>
      </c>
      <c r="H12" s="29" t="s">
        <v>266</v>
      </c>
      <c r="I12" s="29" t="s">
        <v>14</v>
      </c>
      <c r="J12" s="29">
        <v>1</v>
      </c>
      <c r="L12" t="e">
        <f t="shared" si="0"/>
        <v>#VALUE!</v>
      </c>
      <c r="M12" s="120" t="str">
        <f t="shared" si="1"/>
        <v>1_</v>
      </c>
    </row>
    <row r="13" spans="1:16">
      <c r="A13" s="29" t="s">
        <v>233</v>
      </c>
      <c r="B13" s="29" t="s">
        <v>270</v>
      </c>
      <c r="D13" s="29">
        <v>17</v>
      </c>
      <c r="E13" s="29" t="s">
        <v>69</v>
      </c>
      <c r="F13" s="29" t="s">
        <v>521</v>
      </c>
      <c r="G13" s="29" t="s">
        <v>304</v>
      </c>
      <c r="H13" s="29" t="s">
        <v>266</v>
      </c>
      <c r="I13" s="29" t="s">
        <v>14</v>
      </c>
      <c r="J13" s="29">
        <v>1</v>
      </c>
      <c r="L13" t="e">
        <f t="shared" si="0"/>
        <v>#VALUE!</v>
      </c>
      <c r="M13" s="120" t="str">
        <f t="shared" si="1"/>
        <v>1_</v>
      </c>
    </row>
    <row r="14" spans="1:16">
      <c r="A14" s="29" t="s">
        <v>274</v>
      </c>
      <c r="B14" s="29" t="s">
        <v>275</v>
      </c>
      <c r="D14" s="29">
        <v>17</v>
      </c>
      <c r="E14" s="29" t="s">
        <v>69</v>
      </c>
      <c r="F14" s="29" t="s">
        <v>521</v>
      </c>
      <c r="G14" s="29" t="s">
        <v>304</v>
      </c>
      <c r="H14" s="29" t="s">
        <v>266</v>
      </c>
      <c r="I14" s="29" t="s">
        <v>14</v>
      </c>
      <c r="J14" s="29">
        <v>1</v>
      </c>
      <c r="L14" t="e">
        <f t="shared" si="0"/>
        <v>#VALUE!</v>
      </c>
      <c r="M14" s="120" t="str">
        <f t="shared" si="1"/>
        <v>1_</v>
      </c>
    </row>
    <row r="15" spans="1:16">
      <c r="A15" s="29" t="s">
        <v>7</v>
      </c>
      <c r="B15" s="29" t="s">
        <v>279</v>
      </c>
      <c r="D15" s="29">
        <v>17</v>
      </c>
      <c r="E15" s="29" t="s">
        <v>69</v>
      </c>
      <c r="F15" s="29" t="s">
        <v>521</v>
      </c>
      <c r="G15" s="29" t="s">
        <v>304</v>
      </c>
      <c r="H15" s="29" t="s">
        <v>266</v>
      </c>
      <c r="I15" s="29" t="s">
        <v>14</v>
      </c>
      <c r="J15" s="29">
        <v>1</v>
      </c>
      <c r="L15" t="e">
        <f t="shared" si="0"/>
        <v>#VALUE!</v>
      </c>
      <c r="M15" s="120" t="str">
        <f t="shared" si="1"/>
        <v>1_</v>
      </c>
    </row>
    <row r="16" spans="1:16">
      <c r="D16" s="29">
        <v>17</v>
      </c>
      <c r="E16" s="29" t="s">
        <v>69</v>
      </c>
      <c r="F16" s="29" t="s">
        <v>521</v>
      </c>
      <c r="G16" s="29" t="s">
        <v>304</v>
      </c>
      <c r="H16" s="29" t="s">
        <v>266</v>
      </c>
      <c r="I16" s="29" t="s">
        <v>14</v>
      </c>
      <c r="J16" s="29">
        <v>1</v>
      </c>
      <c r="L16" t="e">
        <f t="shared" si="0"/>
        <v>#VALUE!</v>
      </c>
      <c r="M16" s="120" t="str">
        <f t="shared" si="1"/>
        <v>1_</v>
      </c>
    </row>
    <row r="17" spans="1:13">
      <c r="A17" s="29" t="s">
        <v>287</v>
      </c>
      <c r="B17" s="29" t="s">
        <v>135</v>
      </c>
      <c r="D17" s="29">
        <v>17</v>
      </c>
      <c r="E17" s="29" t="s">
        <v>69</v>
      </c>
      <c r="F17" s="29" t="s">
        <v>521</v>
      </c>
      <c r="G17" s="29" t="s">
        <v>304</v>
      </c>
      <c r="H17" s="29" t="s">
        <v>266</v>
      </c>
      <c r="I17" s="29" t="s">
        <v>14</v>
      </c>
      <c r="J17" s="29">
        <v>1</v>
      </c>
      <c r="L17" t="e">
        <f t="shared" si="0"/>
        <v>#VALUE!</v>
      </c>
      <c r="M17" s="120" t="str">
        <f t="shared" si="1"/>
        <v>1_</v>
      </c>
    </row>
    <row r="18" spans="1:13">
      <c r="A18" s="29" t="s">
        <v>292</v>
      </c>
      <c r="B18" s="29" t="s">
        <v>293</v>
      </c>
      <c r="D18" s="29">
        <v>17</v>
      </c>
      <c r="E18" s="29" t="s">
        <v>69</v>
      </c>
      <c r="F18" s="29" t="s">
        <v>521</v>
      </c>
      <c r="G18" s="29" t="s">
        <v>304</v>
      </c>
      <c r="H18" s="29" t="s">
        <v>266</v>
      </c>
      <c r="I18" s="29" t="s">
        <v>14</v>
      </c>
      <c r="J18" s="29">
        <v>1</v>
      </c>
      <c r="L18" t="e">
        <f t="shared" si="0"/>
        <v>#VALUE!</v>
      </c>
      <c r="M18" s="120" t="str">
        <f t="shared" si="1"/>
        <v>1_</v>
      </c>
    </row>
    <row r="19" spans="1:13">
      <c r="A19" s="29" t="s">
        <v>297</v>
      </c>
      <c r="B19" s="29" t="s">
        <v>298</v>
      </c>
      <c r="D19" s="29">
        <v>17</v>
      </c>
      <c r="E19" s="29" t="s">
        <v>69</v>
      </c>
      <c r="F19" s="29" t="s">
        <v>521</v>
      </c>
      <c r="G19" s="29" t="s">
        <v>304</v>
      </c>
      <c r="H19" s="29" t="s">
        <v>266</v>
      </c>
      <c r="I19" s="29" t="s">
        <v>14</v>
      </c>
      <c r="J19" s="29">
        <v>1</v>
      </c>
      <c r="L19" t="e">
        <f t="shared" si="0"/>
        <v>#VALUE!</v>
      </c>
      <c r="M19" s="120" t="str">
        <f t="shared" si="1"/>
        <v>1_</v>
      </c>
    </row>
    <row r="20" spans="1:13">
      <c r="A20" s="29" t="s">
        <v>303</v>
      </c>
      <c r="B20" s="29" t="s">
        <v>304</v>
      </c>
      <c r="D20" s="29">
        <v>17</v>
      </c>
      <c r="E20" s="29" t="s">
        <v>69</v>
      </c>
      <c r="F20" s="29" t="s">
        <v>521</v>
      </c>
      <c r="G20" s="29" t="s">
        <v>304</v>
      </c>
      <c r="H20" s="29" t="s">
        <v>266</v>
      </c>
      <c r="I20" s="29" t="s">
        <v>14</v>
      </c>
      <c r="J20" s="29">
        <v>1</v>
      </c>
      <c r="L20" t="e">
        <f t="shared" si="0"/>
        <v>#VALUE!</v>
      </c>
      <c r="M20" s="120" t="str">
        <f t="shared" si="1"/>
        <v>1_</v>
      </c>
    </row>
    <row r="21" spans="1:13">
      <c r="A21" s="29" t="s">
        <v>308</v>
      </c>
      <c r="B21" s="29" t="s">
        <v>309</v>
      </c>
      <c r="D21" s="29">
        <v>17</v>
      </c>
      <c r="E21" s="29" t="s">
        <v>69</v>
      </c>
      <c r="F21" s="29" t="s">
        <v>521</v>
      </c>
      <c r="G21" s="29" t="s">
        <v>304</v>
      </c>
      <c r="H21" s="29" t="s">
        <v>266</v>
      </c>
      <c r="I21" s="29" t="s">
        <v>14</v>
      </c>
      <c r="J21" s="29">
        <v>1</v>
      </c>
      <c r="L21" t="e">
        <f t="shared" si="0"/>
        <v>#VALUE!</v>
      </c>
      <c r="M21" s="120" t="str">
        <f t="shared" si="1"/>
        <v>1_</v>
      </c>
    </row>
    <row r="22" spans="1:13">
      <c r="A22" s="29" t="s">
        <v>313</v>
      </c>
      <c r="B22" s="29" t="s">
        <v>314</v>
      </c>
      <c r="D22" s="29">
        <v>17</v>
      </c>
      <c r="E22" s="29" t="s">
        <v>69</v>
      </c>
      <c r="F22" s="29" t="s">
        <v>521</v>
      </c>
      <c r="G22" s="29" t="s">
        <v>304</v>
      </c>
      <c r="H22" s="29" t="s">
        <v>266</v>
      </c>
      <c r="I22" s="29" t="s">
        <v>14</v>
      </c>
      <c r="J22" s="29">
        <v>1</v>
      </c>
      <c r="L22" t="e">
        <f t="shared" si="0"/>
        <v>#VALUE!</v>
      </c>
      <c r="M22" s="120" t="str">
        <f t="shared" si="1"/>
        <v>1_</v>
      </c>
    </row>
    <row r="23" spans="1:13">
      <c r="A23" s="29" t="s">
        <v>318</v>
      </c>
      <c r="B23" s="29" t="s">
        <v>319</v>
      </c>
      <c r="D23" s="29">
        <v>17</v>
      </c>
      <c r="E23" s="29" t="s">
        <v>69</v>
      </c>
      <c r="F23" s="29" t="s">
        <v>521</v>
      </c>
      <c r="G23" s="29" t="s">
        <v>304</v>
      </c>
      <c r="H23" s="29" t="s">
        <v>266</v>
      </c>
      <c r="I23" s="29" t="s">
        <v>14</v>
      </c>
      <c r="J23" s="29">
        <v>1</v>
      </c>
      <c r="L23" t="e">
        <f t="shared" si="0"/>
        <v>#VALUE!</v>
      </c>
      <c r="M23" s="120" t="str">
        <f t="shared" si="1"/>
        <v>1_</v>
      </c>
    </row>
    <row r="24" spans="1:13">
      <c r="A24" s="29" t="s">
        <v>324</v>
      </c>
      <c r="B24" s="29" t="s">
        <v>53</v>
      </c>
      <c r="D24" s="29">
        <v>17</v>
      </c>
      <c r="E24" s="29" t="s">
        <v>69</v>
      </c>
      <c r="F24" s="29" t="s">
        <v>521</v>
      </c>
      <c r="G24" s="29" t="s">
        <v>304</v>
      </c>
      <c r="H24" s="29" t="s">
        <v>266</v>
      </c>
      <c r="I24" s="29" t="s">
        <v>14</v>
      </c>
      <c r="J24" s="29">
        <v>1</v>
      </c>
      <c r="L24" t="e">
        <f t="shared" si="0"/>
        <v>#VALUE!</v>
      </c>
      <c r="M24" s="120" t="str">
        <f t="shared" si="1"/>
        <v>1_</v>
      </c>
    </row>
    <row r="25" spans="1:13">
      <c r="D25" s="29">
        <v>17</v>
      </c>
      <c r="E25" s="29" t="s">
        <v>69</v>
      </c>
      <c r="F25" s="29" t="s">
        <v>521</v>
      </c>
      <c r="G25" s="29" t="s">
        <v>304</v>
      </c>
      <c r="H25" s="29" t="s">
        <v>266</v>
      </c>
      <c r="I25" s="29" t="s">
        <v>14</v>
      </c>
      <c r="J25" s="29">
        <v>1</v>
      </c>
      <c r="L25" t="e">
        <f t="shared" si="0"/>
        <v>#VALUE!</v>
      </c>
      <c r="M25" s="120" t="str">
        <f t="shared" si="1"/>
        <v>1_</v>
      </c>
    </row>
    <row r="26" spans="1:13">
      <c r="L26" t="e">
        <f t="shared" si="0"/>
        <v>#VALUE!</v>
      </c>
      <c r="M26" s="120" t="str">
        <f t="shared" si="1"/>
        <v>_</v>
      </c>
    </row>
    <row r="27" spans="1:13">
      <c r="B27" s="29" t="s">
        <v>622</v>
      </c>
      <c r="L27" t="e">
        <f t="shared" si="0"/>
        <v>#VALUE!</v>
      </c>
      <c r="M27" s="120" t="str">
        <f t="shared" si="1"/>
        <v>_</v>
      </c>
    </row>
    <row r="28" spans="1:13">
      <c r="L28" t="e">
        <f t="shared" si="0"/>
        <v>#VALUE!</v>
      </c>
      <c r="M28" s="120" t="str">
        <f t="shared" si="1"/>
        <v>_</v>
      </c>
    </row>
    <row r="29" spans="1:13">
      <c r="A29" s="29" t="s">
        <v>482</v>
      </c>
      <c r="L29" t="e">
        <f t="shared" si="0"/>
        <v>#VALUE!</v>
      </c>
      <c r="M29" s="120" t="str">
        <f t="shared" si="1"/>
        <v>_</v>
      </c>
    </row>
    <row r="30" spans="1:13">
      <c r="A30" s="29" t="s">
        <v>623</v>
      </c>
      <c r="B30" s="29" t="s">
        <v>47</v>
      </c>
      <c r="L30" t="e">
        <f t="shared" si="0"/>
        <v>#VALUE!</v>
      </c>
      <c r="M30" s="120" t="str">
        <f t="shared" si="1"/>
        <v>_</v>
      </c>
    </row>
    <row r="31" spans="1:13">
      <c r="A31" s="29" t="s">
        <v>624</v>
      </c>
      <c r="B31" s="29" t="s">
        <v>625</v>
      </c>
      <c r="L31" t="e">
        <f t="shared" si="0"/>
        <v>#VALUE!</v>
      </c>
      <c r="M31" s="120" t="str">
        <f t="shared" si="1"/>
        <v>_</v>
      </c>
    </row>
    <row r="32" spans="1:13">
      <c r="A32" s="29" t="s">
        <v>626</v>
      </c>
      <c r="B32" s="29" t="s">
        <v>627</v>
      </c>
      <c r="L32" t="e">
        <f t="shared" si="0"/>
        <v>#VALUE!</v>
      </c>
      <c r="M32" s="120" t="str">
        <f t="shared" si="1"/>
        <v>_</v>
      </c>
    </row>
    <row r="33" spans="1:13">
      <c r="A33" s="29" t="s">
        <v>628</v>
      </c>
      <c r="B33" s="29" t="s">
        <v>14</v>
      </c>
      <c r="L33" t="e">
        <f t="shared" si="0"/>
        <v>#VALUE!</v>
      </c>
      <c r="M33" s="120" t="str">
        <f t="shared" si="1"/>
        <v>_</v>
      </c>
    </row>
    <row r="34" spans="1:13">
      <c r="L34" t="e">
        <f t="shared" si="0"/>
        <v>#VALUE!</v>
      </c>
      <c r="M34" s="120" t="str">
        <f t="shared" si="1"/>
        <v>_</v>
      </c>
    </row>
    <row r="35" spans="1:13">
      <c r="A35" s="29" t="s">
        <v>236</v>
      </c>
      <c r="L35" t="e">
        <f t="shared" si="0"/>
        <v>#VALUE!</v>
      </c>
      <c r="M35" s="120" t="str">
        <f t="shared" si="1"/>
        <v>_</v>
      </c>
    </row>
    <row r="36" spans="1:13">
      <c r="A36" s="29">
        <v>2017</v>
      </c>
      <c r="B36" s="29">
        <v>17</v>
      </c>
      <c r="L36" t="e">
        <f t="shared" si="0"/>
        <v>#VALUE!</v>
      </c>
      <c r="M36" s="120" t="str">
        <f t="shared" si="1"/>
        <v>_</v>
      </c>
    </row>
    <row r="37" spans="1:13">
      <c r="A37" s="29">
        <v>2018</v>
      </c>
      <c r="B37" s="29">
        <v>18</v>
      </c>
      <c r="L37" t="e">
        <f t="shared" si="0"/>
        <v>#VALUE!</v>
      </c>
      <c r="M37" s="120" t="str">
        <f t="shared" si="1"/>
        <v>_</v>
      </c>
    </row>
    <row r="38" spans="1:13">
      <c r="A38" s="29">
        <v>2019</v>
      </c>
      <c r="B38" s="29">
        <v>19</v>
      </c>
      <c r="L38" t="e">
        <f t="shared" si="0"/>
        <v>#VALUE!</v>
      </c>
      <c r="M38" s="120" t="str">
        <f t="shared" si="1"/>
        <v>_</v>
      </c>
    </row>
    <row r="39" spans="1:13">
      <c r="A39" s="29">
        <v>2020</v>
      </c>
      <c r="B39" s="29">
        <v>20</v>
      </c>
      <c r="L39" t="e">
        <f t="shared" si="0"/>
        <v>#VALUE!</v>
      </c>
      <c r="M39" s="120" t="str">
        <f t="shared" si="1"/>
        <v>_</v>
      </c>
    </row>
    <row r="40" spans="1:13">
      <c r="L40" t="e">
        <f t="shared" si="0"/>
        <v>#VALUE!</v>
      </c>
      <c r="M40" s="120" t="str">
        <f t="shared" si="1"/>
        <v>_</v>
      </c>
    </row>
    <row r="41" spans="1:13">
      <c r="A41" s="29" t="s">
        <v>629</v>
      </c>
      <c r="L41" t="e">
        <f t="shared" si="0"/>
        <v>#VALUE!</v>
      </c>
      <c r="M41" s="120" t="str">
        <f t="shared" si="1"/>
        <v>_</v>
      </c>
    </row>
    <row r="42" spans="1:13">
      <c r="A42" s="29" t="s">
        <v>630</v>
      </c>
      <c r="B42" s="29" t="s">
        <v>521</v>
      </c>
      <c r="L42" t="e">
        <f t="shared" si="0"/>
        <v>#VALUE!</v>
      </c>
      <c r="M42" s="120" t="str">
        <f t="shared" si="1"/>
        <v>_</v>
      </c>
    </row>
    <row r="43" spans="1:13">
      <c r="A43" s="29" t="s">
        <v>213</v>
      </c>
      <c r="B43" s="29" t="s">
        <v>631</v>
      </c>
      <c r="L43" t="e">
        <f t="shared" si="0"/>
        <v>#VALUE!</v>
      </c>
      <c r="M43" s="120" t="str">
        <f t="shared" si="1"/>
        <v>_</v>
      </c>
    </row>
    <row r="44" spans="1:13">
      <c r="A44" s="29" t="s">
        <v>218</v>
      </c>
      <c r="B44" s="29" t="s">
        <v>632</v>
      </c>
      <c r="L44" t="e">
        <f t="shared" si="0"/>
        <v>#VALUE!</v>
      </c>
      <c r="M44" s="120" t="str">
        <f t="shared" si="1"/>
        <v>_</v>
      </c>
    </row>
    <row r="45" spans="1:13">
      <c r="A45" s="29" t="s">
        <v>219</v>
      </c>
      <c r="B45" s="29" t="s">
        <v>633</v>
      </c>
      <c r="L45" t="e">
        <f t="shared" si="0"/>
        <v>#VALUE!</v>
      </c>
      <c r="M45" s="120" t="str">
        <f t="shared" si="1"/>
        <v>_</v>
      </c>
    </row>
    <row r="46" spans="1:13">
      <c r="A46" s="29" t="s">
        <v>220</v>
      </c>
      <c r="B46" s="29" t="s">
        <v>634</v>
      </c>
      <c r="L46" t="e">
        <f t="shared" si="0"/>
        <v>#VALUE!</v>
      </c>
      <c r="M46" s="120" t="str">
        <f t="shared" si="1"/>
        <v>_</v>
      </c>
    </row>
    <row r="47" spans="1:13">
      <c r="A47" s="29" t="s">
        <v>221</v>
      </c>
      <c r="B47" s="29" t="s">
        <v>635</v>
      </c>
      <c r="L47" t="e">
        <f t="shared" si="0"/>
        <v>#VALUE!</v>
      </c>
      <c r="M47" s="120" t="str">
        <f t="shared" si="1"/>
        <v>_</v>
      </c>
    </row>
    <row r="48" spans="1:13">
      <c r="A48" s="29" t="s">
        <v>222</v>
      </c>
      <c r="B48" s="29" t="s">
        <v>636</v>
      </c>
      <c r="L48" t="e">
        <f t="shared" si="0"/>
        <v>#VALUE!</v>
      </c>
      <c r="M48" s="120" t="str">
        <f t="shared" si="1"/>
        <v>_</v>
      </c>
    </row>
    <row r="49" spans="1:13">
      <c r="A49" s="29" t="s">
        <v>223</v>
      </c>
      <c r="B49" s="29" t="s">
        <v>637</v>
      </c>
      <c r="L49" t="e">
        <f t="shared" si="0"/>
        <v>#VALUE!</v>
      </c>
      <c r="M49" s="120" t="str">
        <f t="shared" si="1"/>
        <v>_</v>
      </c>
    </row>
    <row r="50" spans="1:13">
      <c r="A50" s="29" t="s">
        <v>224</v>
      </c>
      <c r="B50" s="29" t="s">
        <v>638</v>
      </c>
      <c r="L50" t="e">
        <f t="shared" si="0"/>
        <v>#VALUE!</v>
      </c>
      <c r="M50" s="120" t="str">
        <f t="shared" si="1"/>
        <v>_</v>
      </c>
    </row>
    <row r="51" spans="1:13">
      <c r="A51" s="29" t="s">
        <v>225</v>
      </c>
      <c r="B51" s="29" t="s">
        <v>639</v>
      </c>
      <c r="L51" t="e">
        <f t="shared" si="0"/>
        <v>#VALUE!</v>
      </c>
      <c r="M51" s="120" t="str">
        <f t="shared" si="1"/>
        <v>_</v>
      </c>
    </row>
    <row r="52" spans="1:13">
      <c r="A52" s="29" t="s">
        <v>640</v>
      </c>
      <c r="B52" s="29" t="s">
        <v>641</v>
      </c>
      <c r="L52" t="e">
        <f t="shared" si="0"/>
        <v>#VALUE!</v>
      </c>
      <c r="M52" s="120" t="str">
        <f t="shared" si="1"/>
        <v>_</v>
      </c>
    </row>
    <row r="53" spans="1:13">
      <c r="A53" s="29" t="s">
        <v>228</v>
      </c>
      <c r="B53" s="29" t="s">
        <v>642</v>
      </c>
      <c r="L53" t="e">
        <f t="shared" si="0"/>
        <v>#VALUE!</v>
      </c>
      <c r="M53" s="120" t="str">
        <f t="shared" si="1"/>
        <v>_</v>
      </c>
    </row>
    <row r="54" spans="1:13">
      <c r="A54" s="29" t="s">
        <v>643</v>
      </c>
      <c r="B54" s="29" t="s">
        <v>644</v>
      </c>
      <c r="L54" t="e">
        <f t="shared" si="0"/>
        <v>#VALUE!</v>
      </c>
      <c r="M54" s="120" t="str">
        <f t="shared" si="1"/>
        <v>_</v>
      </c>
    </row>
    <row r="55" spans="1:13">
      <c r="L55" t="e">
        <f t="shared" si="0"/>
        <v>#VALUE!</v>
      </c>
      <c r="M55" s="120" t="str">
        <f t="shared" si="1"/>
        <v>_</v>
      </c>
    </row>
    <row r="56" spans="1:13">
      <c r="A56" s="29" t="s">
        <v>645</v>
      </c>
      <c r="L56" t="e">
        <f t="shared" si="0"/>
        <v>#VALUE!</v>
      </c>
      <c r="M56" s="120" t="str">
        <f t="shared" si="1"/>
        <v>_</v>
      </c>
    </row>
    <row r="57" spans="1:13">
      <c r="A57" s="29" t="s">
        <v>323</v>
      </c>
      <c r="L57" t="e">
        <f t="shared" si="0"/>
        <v>#VALUE!</v>
      </c>
      <c r="M57" s="120" t="str">
        <f t="shared" si="1"/>
        <v>_</v>
      </c>
    </row>
    <row r="58" spans="1:13">
      <c r="A58" s="29" t="s">
        <v>646</v>
      </c>
      <c r="L58" t="e">
        <f t="shared" si="0"/>
        <v>#VALUE!</v>
      </c>
      <c r="M58" s="120" t="str">
        <f t="shared" si="1"/>
        <v>_</v>
      </c>
    </row>
    <row r="59" spans="1:13">
      <c r="A59" s="29" t="s">
        <v>265</v>
      </c>
      <c r="L59" t="e">
        <f t="shared" si="0"/>
        <v>#VALUE!</v>
      </c>
      <c r="M59" s="120" t="str">
        <f t="shared" si="1"/>
        <v>_</v>
      </c>
    </row>
    <row r="60" spans="1:13">
      <c r="A60" s="29" t="s">
        <v>647</v>
      </c>
      <c r="L60" t="e">
        <f t="shared" si="0"/>
        <v>#VALUE!</v>
      </c>
      <c r="M60" s="120" t="str">
        <f t="shared" si="1"/>
        <v>_</v>
      </c>
    </row>
    <row r="61" spans="1:13">
      <c r="L61" t="e">
        <f t="shared" si="0"/>
        <v>#VALUE!</v>
      </c>
      <c r="M61" s="120" t="str">
        <f t="shared" si="1"/>
        <v>_</v>
      </c>
    </row>
    <row r="62" spans="1:13">
      <c r="L62" t="e">
        <f t="shared" si="0"/>
        <v>#VALUE!</v>
      </c>
      <c r="M62" s="120" t="str">
        <f t="shared" si="1"/>
        <v>_</v>
      </c>
    </row>
    <row r="63" spans="1:13">
      <c r="L63" t="e">
        <f t="shared" si="0"/>
        <v>#VALUE!</v>
      </c>
      <c r="M63" s="120" t="str">
        <f t="shared" si="1"/>
        <v>_</v>
      </c>
    </row>
    <row r="64" spans="1:13">
      <c r="L64" t="e">
        <f t="shared" si="0"/>
        <v>#VALUE!</v>
      </c>
      <c r="M64" s="120" t="str">
        <f t="shared" si="1"/>
        <v>_</v>
      </c>
    </row>
    <row r="65" spans="12:13">
      <c r="L65" t="e">
        <f t="shared" si="0"/>
        <v>#VALUE!</v>
      </c>
      <c r="M65" s="120" t="str">
        <f t="shared" si="1"/>
        <v>_</v>
      </c>
    </row>
    <row r="66" spans="12:13">
      <c r="L66" t="e">
        <f t="shared" si="0"/>
        <v>#VALUE!</v>
      </c>
      <c r="M66" s="120" t="str">
        <f t="shared" si="1"/>
        <v>_</v>
      </c>
    </row>
    <row r="67" spans="12:13">
      <c r="L67" t="e">
        <f t="shared" si="0"/>
        <v>#VALUE!</v>
      </c>
      <c r="M67" s="120" t="str">
        <f t="shared" si="1"/>
        <v>_</v>
      </c>
    </row>
    <row r="68" spans="12:13">
      <c r="L68" t="e">
        <f t="shared" si="0"/>
        <v>#VALUE!</v>
      </c>
      <c r="M68" s="120" t="str">
        <f t="shared" si="1"/>
        <v>_</v>
      </c>
    </row>
    <row r="69" spans="12:13">
      <c r="L69" t="e">
        <f t="shared" si="0"/>
        <v>#VALUE!</v>
      </c>
      <c r="M69" s="120" t="str">
        <f t="shared" si="1"/>
        <v>_</v>
      </c>
    </row>
    <row r="70" spans="12:13">
      <c r="L70" t="e">
        <f t="shared" si="0"/>
        <v>#VALUE!</v>
      </c>
      <c r="M70" s="120" t="str">
        <f t="shared" si="1"/>
        <v>_</v>
      </c>
    </row>
    <row r="71" spans="12:13">
      <c r="L71" t="e">
        <f t="shared" si="0"/>
        <v>#VALUE!</v>
      </c>
      <c r="M71" s="120" t="str">
        <f t="shared" si="1"/>
        <v>_</v>
      </c>
    </row>
    <row r="72" spans="12:13">
      <c r="L72" t="e">
        <f t="shared" si="0"/>
        <v>#VALUE!</v>
      </c>
      <c r="M72" s="120" t="str">
        <f t="shared" si="1"/>
        <v>_</v>
      </c>
    </row>
    <row r="73" spans="12:13">
      <c r="L73" t="e">
        <f t="shared" si="0"/>
        <v>#VALUE!</v>
      </c>
      <c r="M73" s="120" t="str">
        <f t="shared" si="1"/>
        <v>_</v>
      </c>
    </row>
    <row r="74" spans="12:13">
      <c r="L74" t="e">
        <f t="shared" si="0"/>
        <v>#VALUE!</v>
      </c>
      <c r="M74" s="120" t="str">
        <f t="shared" si="1"/>
        <v>_</v>
      </c>
    </row>
    <row r="75" spans="12:13">
      <c r="L75" t="e">
        <f t="shared" si="0"/>
        <v>#VALUE!</v>
      </c>
      <c r="M75" s="120" t="str">
        <f t="shared" si="1"/>
        <v>_</v>
      </c>
    </row>
    <row r="76" spans="12:13">
      <c r="L76" t="e">
        <f t="shared" si="0"/>
        <v>#VALUE!</v>
      </c>
      <c r="M76" s="120" t="str">
        <f t="shared" si="1"/>
        <v>_</v>
      </c>
    </row>
    <row r="77" spans="12:13">
      <c r="L77" t="e">
        <f t="shared" si="0"/>
        <v>#VALUE!</v>
      </c>
      <c r="M77" s="120" t="str">
        <f t="shared" si="1"/>
        <v>_</v>
      </c>
    </row>
    <row r="78" spans="12:13">
      <c r="L78" t="e">
        <f t="shared" si="0"/>
        <v>#VALUE!</v>
      </c>
      <c r="M78" s="120" t="str">
        <f t="shared" si="1"/>
        <v>_</v>
      </c>
    </row>
    <row r="79" spans="12:13">
      <c r="L79" t="e">
        <f t="shared" si="0"/>
        <v>#VALUE!</v>
      </c>
      <c r="M79" s="120" t="str">
        <f t="shared" si="1"/>
        <v>_</v>
      </c>
    </row>
    <row r="80" spans="12:13">
      <c r="L80" t="e">
        <f t="shared" si="0"/>
        <v>#VALUE!</v>
      </c>
      <c r="M80" s="120" t="str">
        <f t="shared" si="1"/>
        <v>_</v>
      </c>
    </row>
    <row r="81" spans="12:13">
      <c r="L81" t="e">
        <f t="shared" si="0"/>
        <v>#VALUE!</v>
      </c>
      <c r="M81" s="120" t="str">
        <f t="shared" si="1"/>
        <v>_</v>
      </c>
    </row>
    <row r="82" spans="12:13">
      <c r="L82" t="e">
        <f t="shared" si="0"/>
        <v>#VALUE!</v>
      </c>
      <c r="M82" s="120" t="str">
        <f t="shared" si="1"/>
        <v>_</v>
      </c>
    </row>
    <row r="83" spans="12:13">
      <c r="L83" t="e">
        <f t="shared" si="0"/>
        <v>#VALUE!</v>
      </c>
      <c r="M83" s="120" t="str">
        <f t="shared" si="1"/>
        <v>_</v>
      </c>
    </row>
    <row r="84" spans="12:13">
      <c r="L84" t="e">
        <f t="shared" si="0"/>
        <v>#VALUE!</v>
      </c>
      <c r="M84" s="120" t="str">
        <f t="shared" si="1"/>
        <v>_</v>
      </c>
    </row>
    <row r="85" spans="12:13">
      <c r="L85" t="e">
        <f t="shared" si="0"/>
        <v>#VALUE!</v>
      </c>
      <c r="M85" s="120" t="str">
        <f t="shared" si="1"/>
        <v>_</v>
      </c>
    </row>
    <row r="86" spans="12:13">
      <c r="L86" t="e">
        <f t="shared" si="0"/>
        <v>#VALUE!</v>
      </c>
      <c r="M86" s="120" t="str">
        <f t="shared" si="1"/>
        <v>_</v>
      </c>
    </row>
    <row r="87" spans="12:13">
      <c r="L87" t="e">
        <f t="shared" si="0"/>
        <v>#VALUE!</v>
      </c>
      <c r="M87" s="120" t="str">
        <f t="shared" si="1"/>
        <v>_</v>
      </c>
    </row>
    <row r="88" spans="12:13">
      <c r="L88" t="e">
        <f t="shared" si="0"/>
        <v>#VALUE!</v>
      </c>
      <c r="M88" s="120" t="str">
        <f t="shared" si="1"/>
        <v>_</v>
      </c>
    </row>
    <row r="89" spans="12:13">
      <c r="L89" t="e">
        <f t="shared" si="0"/>
        <v>#VALUE!</v>
      </c>
      <c r="M89" s="120" t="str">
        <f t="shared" si="1"/>
        <v>_</v>
      </c>
    </row>
    <row r="90" spans="12:13">
      <c r="L90" t="e">
        <f t="shared" si="0"/>
        <v>#VALUE!</v>
      </c>
      <c r="M90" s="120" t="str">
        <f t="shared" si="1"/>
        <v>_</v>
      </c>
    </row>
    <row r="91" spans="12:13">
      <c r="L91" t="e">
        <f t="shared" si="0"/>
        <v>#VALUE!</v>
      </c>
      <c r="M91" s="120" t="str">
        <f t="shared" si="1"/>
        <v>_</v>
      </c>
    </row>
    <row r="92" spans="12:13">
      <c r="L92" t="e">
        <f t="shared" si="0"/>
        <v>#VALUE!</v>
      </c>
      <c r="M92" s="120" t="str">
        <f t="shared" si="1"/>
        <v>_</v>
      </c>
    </row>
    <row r="93" spans="12:13">
      <c r="L93" t="e">
        <f t="shared" si="0"/>
        <v>#VALUE!</v>
      </c>
      <c r="M93" s="120" t="str">
        <f t="shared" si="1"/>
        <v>_</v>
      </c>
    </row>
    <row r="94" spans="12:13">
      <c r="L94" t="e">
        <f t="shared" si="0"/>
        <v>#VALUE!</v>
      </c>
      <c r="M94" s="120" t="str">
        <f t="shared" si="1"/>
        <v>_</v>
      </c>
    </row>
    <row r="95" spans="12:13">
      <c r="L95" t="e">
        <f t="shared" si="0"/>
        <v>#VALUE!</v>
      </c>
      <c r="M95" s="120" t="str">
        <f t="shared" si="1"/>
        <v>_</v>
      </c>
    </row>
    <row r="96" spans="12:13">
      <c r="L96" t="e">
        <f t="shared" si="0"/>
        <v>#VALUE!</v>
      </c>
      <c r="M96" s="120" t="str">
        <f t="shared" si="1"/>
        <v>_</v>
      </c>
    </row>
    <row r="97" spans="12:13">
      <c r="L97" t="e">
        <f t="shared" si="0"/>
        <v>#VALUE!</v>
      </c>
      <c r="M97" s="120" t="str">
        <f t="shared" si="1"/>
        <v>_</v>
      </c>
    </row>
    <row r="98" spans="12:13">
      <c r="L98" t="e">
        <f t="shared" si="0"/>
        <v>#VALUE!</v>
      </c>
      <c r="M98" s="120" t="str">
        <f t="shared" si="1"/>
        <v>_</v>
      </c>
    </row>
    <row r="99" spans="12:13">
      <c r="L99" t="e">
        <f t="shared" si="0"/>
        <v>#VALUE!</v>
      </c>
      <c r="M99" s="120" t="str">
        <f t="shared" si="1"/>
        <v>_</v>
      </c>
    </row>
    <row r="100" spans="12:13">
      <c r="L100" t="e">
        <f t="shared" si="0"/>
        <v>#VALUE!</v>
      </c>
      <c r="M100" s="120" t="str">
        <f t="shared" si="1"/>
        <v>_</v>
      </c>
    </row>
    <row r="101" spans="12:13">
      <c r="L101" t="e">
        <f t="shared" si="0"/>
        <v>#VALUE!</v>
      </c>
      <c r="M101" s="120" t="str">
        <f t="shared" si="1"/>
        <v>_</v>
      </c>
    </row>
    <row r="102" spans="12:13">
      <c r="L102" t="e">
        <f t="shared" si="0"/>
        <v>#VALUE!</v>
      </c>
      <c r="M102" s="120" t="str">
        <f t="shared" si="1"/>
        <v>_</v>
      </c>
    </row>
    <row r="103" spans="12:13">
      <c r="L103" t="e">
        <f t="shared" si="0"/>
        <v>#VALUE!</v>
      </c>
      <c r="M103" s="120" t="str">
        <f t="shared" si="1"/>
        <v>_</v>
      </c>
    </row>
    <row r="104" spans="12:13">
      <c r="L104" t="e">
        <f t="shared" si="0"/>
        <v>#VALUE!</v>
      </c>
      <c r="M104" s="120" t="str">
        <f t="shared" si="1"/>
        <v>_</v>
      </c>
    </row>
    <row r="105" spans="12:13">
      <c r="L105" t="e">
        <f t="shared" si="0"/>
        <v>#VALUE!</v>
      </c>
      <c r="M105" s="120" t="str">
        <f t="shared" si="1"/>
        <v>_</v>
      </c>
    </row>
    <row r="106" spans="12:13">
      <c r="L106" t="e">
        <f t="shared" si="0"/>
        <v>#VALUE!</v>
      </c>
      <c r="M106" s="120" t="str">
        <f t="shared" si="1"/>
        <v>_</v>
      </c>
    </row>
    <row r="107" spans="12:13">
      <c r="L107" t="e">
        <f t="shared" si="0"/>
        <v>#VALUE!</v>
      </c>
      <c r="M107" s="120" t="str">
        <f t="shared" si="1"/>
        <v>_</v>
      </c>
    </row>
    <row r="108" spans="12:13">
      <c r="L108" t="e">
        <f t="shared" si="0"/>
        <v>#VALUE!</v>
      </c>
      <c r="M108" s="120" t="str">
        <f t="shared" si="1"/>
        <v>_</v>
      </c>
    </row>
    <row r="109" spans="12:13">
      <c r="L109" t="e">
        <f t="shared" si="0"/>
        <v>#VALUE!</v>
      </c>
      <c r="M109" s="120" t="str">
        <f t="shared" si="1"/>
        <v>_</v>
      </c>
    </row>
    <row r="110" spans="12:13">
      <c r="L110" t="e">
        <f t="shared" si="0"/>
        <v>#VALUE!</v>
      </c>
      <c r="M110" s="120" t="str">
        <f t="shared" si="1"/>
        <v>_</v>
      </c>
    </row>
    <row r="111" spans="12:13">
      <c r="L111" t="e">
        <f t="shared" si="0"/>
        <v>#VALUE!</v>
      </c>
      <c r="M111" s="120" t="str">
        <f t="shared" si="1"/>
        <v>_</v>
      </c>
    </row>
    <row r="112" spans="12:13">
      <c r="L112" t="e">
        <f t="shared" si="0"/>
        <v>#VALUE!</v>
      </c>
      <c r="M112" s="120" t="str">
        <f t="shared" si="1"/>
        <v>_</v>
      </c>
    </row>
    <row r="113" spans="12:13">
      <c r="L113" t="e">
        <f t="shared" si="0"/>
        <v>#VALUE!</v>
      </c>
      <c r="M113" s="120" t="str">
        <f t="shared" si="1"/>
        <v>_</v>
      </c>
    </row>
    <row r="114" spans="12:13">
      <c r="L114" t="e">
        <f t="shared" si="0"/>
        <v>#VALUE!</v>
      </c>
      <c r="M114" s="120" t="str">
        <f t="shared" si="1"/>
        <v>_</v>
      </c>
    </row>
    <row r="115" spans="12:13">
      <c r="L115" t="e">
        <f t="shared" si="0"/>
        <v>#VALUE!</v>
      </c>
      <c r="M115" s="120" t="str">
        <f t="shared" si="1"/>
        <v>_</v>
      </c>
    </row>
    <row r="116" spans="12:13">
      <c r="L116" t="e">
        <f t="shared" si="0"/>
        <v>#VALUE!</v>
      </c>
      <c r="M116" s="120" t="str">
        <f t="shared" si="1"/>
        <v>_</v>
      </c>
    </row>
    <row r="117" spans="12:13">
      <c r="L117" t="e">
        <f t="shared" si="0"/>
        <v>#VALUE!</v>
      </c>
      <c r="M117" s="120" t="str">
        <f t="shared" si="1"/>
        <v>_</v>
      </c>
    </row>
    <row r="118" spans="12:13">
      <c r="L118" t="e">
        <f t="shared" si="0"/>
        <v>#VALUE!</v>
      </c>
      <c r="M118" s="120" t="str">
        <f t="shared" si="1"/>
        <v>_</v>
      </c>
    </row>
    <row r="119" spans="12:13">
      <c r="L119" t="e">
        <f t="shared" si="0"/>
        <v>#VALUE!</v>
      </c>
      <c r="M119" s="120" t="str">
        <f t="shared" si="1"/>
        <v>_</v>
      </c>
    </row>
    <row r="120" spans="12:13">
      <c r="L120" t="e">
        <f t="shared" si="0"/>
        <v>#VALUE!</v>
      </c>
      <c r="M120" s="120" t="str">
        <f t="shared" si="1"/>
        <v>_</v>
      </c>
    </row>
    <row r="121" spans="12:13">
      <c r="L121" t="e">
        <f t="shared" si="0"/>
        <v>#VALUE!</v>
      </c>
      <c r="M121" s="120" t="str">
        <f t="shared" si="1"/>
        <v>_</v>
      </c>
    </row>
    <row r="122" spans="12:13">
      <c r="L122" t="e">
        <f t="shared" si="0"/>
        <v>#VALUE!</v>
      </c>
      <c r="M122" s="120" t="str">
        <f t="shared" si="1"/>
        <v>_</v>
      </c>
    </row>
    <row r="123" spans="12:13">
      <c r="L123" t="e">
        <f t="shared" si="0"/>
        <v>#VALUE!</v>
      </c>
      <c r="M123" s="120" t="str">
        <f t="shared" si="1"/>
        <v>_</v>
      </c>
    </row>
    <row r="124" spans="12:13">
      <c r="L124" t="e">
        <f t="shared" si="0"/>
        <v>#VALUE!</v>
      </c>
      <c r="M124" s="120" t="str">
        <f t="shared" si="1"/>
        <v>_</v>
      </c>
    </row>
    <row r="125" spans="12:13">
      <c r="L125" t="e">
        <f t="shared" si="0"/>
        <v>#VALUE!</v>
      </c>
      <c r="M125" s="120" t="str">
        <f t="shared" si="1"/>
        <v>_</v>
      </c>
    </row>
    <row r="126" spans="12:13">
      <c r="L126" t="e">
        <f t="shared" si="0"/>
        <v>#VALUE!</v>
      </c>
      <c r="M126" s="120" t="str">
        <f t="shared" si="1"/>
        <v>_</v>
      </c>
    </row>
    <row r="127" spans="12:13">
      <c r="L127" t="e">
        <f t="shared" si="0"/>
        <v>#VALUE!</v>
      </c>
      <c r="M127" s="120" t="str">
        <f t="shared" si="1"/>
        <v>_</v>
      </c>
    </row>
    <row r="128" spans="12:13">
      <c r="L128" t="e">
        <f t="shared" si="0"/>
        <v>#VALUE!</v>
      </c>
      <c r="M128" s="120" t="str">
        <f t="shared" si="1"/>
        <v>_</v>
      </c>
    </row>
    <row r="129" spans="12:13">
      <c r="L129" t="e">
        <f t="shared" si="0"/>
        <v>#VALUE!</v>
      </c>
      <c r="M129" s="120" t="str">
        <f t="shared" si="1"/>
        <v>_</v>
      </c>
    </row>
    <row r="130" spans="12:13">
      <c r="L130" t="e">
        <f t="shared" si="0"/>
        <v>#VALUE!</v>
      </c>
      <c r="M130" s="120" t="str">
        <f t="shared" si="1"/>
        <v>_</v>
      </c>
    </row>
    <row r="131" spans="12:13">
      <c r="L131" t="e">
        <f t="shared" si="0"/>
        <v>#VALUE!</v>
      </c>
      <c r="M131" s="120" t="str">
        <f t="shared" si="1"/>
        <v>_</v>
      </c>
    </row>
    <row r="132" spans="12:13">
      <c r="L132" t="e">
        <f t="shared" si="0"/>
        <v>#VALUE!</v>
      </c>
      <c r="M132" s="120" t="str">
        <f t="shared" si="1"/>
        <v>_</v>
      </c>
    </row>
    <row r="133" spans="12:13">
      <c r="L133" t="e">
        <f t="shared" si="0"/>
        <v>#VALUE!</v>
      </c>
      <c r="M133" s="120" t="str">
        <f t="shared" si="1"/>
        <v>_</v>
      </c>
    </row>
    <row r="134" spans="12:13">
      <c r="L134" t="e">
        <f t="shared" si="0"/>
        <v>#VALUE!</v>
      </c>
      <c r="M134" s="120" t="str">
        <f t="shared" si="1"/>
        <v>_</v>
      </c>
    </row>
    <row r="135" spans="12:13">
      <c r="L135" t="e">
        <f t="shared" si="0"/>
        <v>#VALUE!</v>
      </c>
      <c r="M135" s="120" t="str">
        <f t="shared" si="1"/>
        <v>_</v>
      </c>
    </row>
    <row r="136" spans="12:13">
      <c r="L136" t="e">
        <f t="shared" si="0"/>
        <v>#VALUE!</v>
      </c>
      <c r="M136" s="120" t="str">
        <f t="shared" si="1"/>
        <v>_</v>
      </c>
    </row>
    <row r="137" spans="12:13">
      <c r="L137" t="e">
        <f t="shared" si="0"/>
        <v>#VALUE!</v>
      </c>
      <c r="M137" s="120" t="str">
        <f t="shared" si="1"/>
        <v>_</v>
      </c>
    </row>
    <row r="138" spans="12:13">
      <c r="L138" t="e">
        <f t="shared" si="0"/>
        <v>#VALUE!</v>
      </c>
      <c r="M138" s="120" t="str">
        <f t="shared" si="1"/>
        <v>_</v>
      </c>
    </row>
    <row r="139" spans="12:13">
      <c r="L139" t="e">
        <f t="shared" si="0"/>
        <v>#VALUE!</v>
      </c>
      <c r="M139" s="120" t="str">
        <f t="shared" si="1"/>
        <v>_</v>
      </c>
    </row>
    <row r="140" spans="12:13">
      <c r="L140" t="e">
        <f t="shared" si="0"/>
        <v>#VALUE!</v>
      </c>
      <c r="M140" s="120" t="str">
        <f t="shared" si="1"/>
        <v>_</v>
      </c>
    </row>
    <row r="141" spans="12:13">
      <c r="L141" t="e">
        <f t="shared" si="0"/>
        <v>#VALUE!</v>
      </c>
      <c r="M141" s="120" t="str">
        <f t="shared" si="1"/>
        <v>_</v>
      </c>
    </row>
    <row r="142" spans="12:13">
      <c r="L142" t="e">
        <f t="shared" si="0"/>
        <v>#VALUE!</v>
      </c>
      <c r="M142" s="120" t="str">
        <f t="shared" si="1"/>
        <v>_</v>
      </c>
    </row>
    <row r="143" spans="12:13">
      <c r="L143" t="e">
        <f t="shared" si="0"/>
        <v>#VALUE!</v>
      </c>
      <c r="M143" s="120" t="str">
        <f t="shared" si="1"/>
        <v>_</v>
      </c>
    </row>
    <row r="144" spans="12:13">
      <c r="L144" t="e">
        <f t="shared" si="0"/>
        <v>#VALUE!</v>
      </c>
      <c r="M144" s="120" t="str">
        <f t="shared" si="1"/>
        <v>_</v>
      </c>
    </row>
    <row r="145" spans="12:13">
      <c r="L145" t="e">
        <f t="shared" si="0"/>
        <v>#VALUE!</v>
      </c>
      <c r="M145" s="120" t="str">
        <f t="shared" si="1"/>
        <v>_</v>
      </c>
    </row>
    <row r="146" spans="12:13">
      <c r="L146" t="e">
        <f t="shared" si="0"/>
        <v>#VALUE!</v>
      </c>
      <c r="M146" s="120" t="str">
        <f t="shared" si="1"/>
        <v>_</v>
      </c>
    </row>
    <row r="147" spans="12:13">
      <c r="L147" t="e">
        <f t="shared" si="0"/>
        <v>#VALUE!</v>
      </c>
      <c r="M147" s="120" t="str">
        <f t="shared" si="1"/>
        <v>_</v>
      </c>
    </row>
    <row r="148" spans="12:13">
      <c r="L148" t="e">
        <f t="shared" si="0"/>
        <v>#VALUE!</v>
      </c>
      <c r="M148" s="120" t="str">
        <f t="shared" si="1"/>
        <v>_</v>
      </c>
    </row>
    <row r="149" spans="12:13">
      <c r="L149" t="e">
        <f t="shared" si="0"/>
        <v>#VALUE!</v>
      </c>
      <c r="M149" s="120" t="str">
        <f t="shared" si="1"/>
        <v>_</v>
      </c>
    </row>
    <row r="150" spans="12:13">
      <c r="L150" t="e">
        <f t="shared" si="0"/>
        <v>#VALUE!</v>
      </c>
      <c r="M150" s="120" t="str">
        <f t="shared" si="1"/>
        <v>_</v>
      </c>
    </row>
    <row r="151" spans="12:13">
      <c r="L151" t="e">
        <f t="shared" si="0"/>
        <v>#VALUE!</v>
      </c>
      <c r="M151" s="120" t="str">
        <f t="shared" si="1"/>
        <v>_</v>
      </c>
    </row>
    <row r="152" spans="12:13">
      <c r="L152" t="e">
        <f t="shared" si="0"/>
        <v>#VALUE!</v>
      </c>
      <c r="M152" s="120" t="str">
        <f t="shared" si="1"/>
        <v>_</v>
      </c>
    </row>
    <row r="153" spans="12:13">
      <c r="L153" t="e">
        <f t="shared" si="0"/>
        <v>#VALUE!</v>
      </c>
      <c r="M153" s="120" t="str">
        <f t="shared" si="1"/>
        <v>_</v>
      </c>
    </row>
    <row r="154" spans="12:13">
      <c r="L154" t="e">
        <f t="shared" si="0"/>
        <v>#VALUE!</v>
      </c>
      <c r="M154" s="120" t="str">
        <f t="shared" si="1"/>
        <v>_</v>
      </c>
    </row>
    <row r="155" spans="12:13">
      <c r="L155" t="e">
        <f t="shared" si="0"/>
        <v>#VALUE!</v>
      </c>
      <c r="M155" s="120" t="str">
        <f t="shared" si="1"/>
        <v>_</v>
      </c>
    </row>
    <row r="156" spans="12:13">
      <c r="L156" t="e">
        <f t="shared" si="0"/>
        <v>#VALUE!</v>
      </c>
      <c r="M156" s="120" t="str">
        <f t="shared" si="1"/>
        <v>_</v>
      </c>
    </row>
    <row r="157" spans="12:13">
      <c r="L157" t="e">
        <f t="shared" si="0"/>
        <v>#VALUE!</v>
      </c>
      <c r="M157" s="120" t="str">
        <f t="shared" si="1"/>
        <v>_</v>
      </c>
    </row>
    <row r="158" spans="12:13">
      <c r="L158" t="e">
        <f t="shared" si="0"/>
        <v>#VALUE!</v>
      </c>
      <c r="M158" s="120" t="str">
        <f t="shared" si="1"/>
        <v>_</v>
      </c>
    </row>
    <row r="159" spans="12:13">
      <c r="L159" t="e">
        <f t="shared" si="0"/>
        <v>#VALUE!</v>
      </c>
      <c r="M159" s="120" t="str">
        <f t="shared" si="1"/>
        <v>_</v>
      </c>
    </row>
    <row r="160" spans="12:13">
      <c r="L160" t="e">
        <f t="shared" si="0"/>
        <v>#VALUE!</v>
      </c>
      <c r="M160" s="120" t="str">
        <f t="shared" si="1"/>
        <v>_</v>
      </c>
    </row>
    <row r="161" spans="12:13">
      <c r="L161" t="e">
        <f t="shared" si="0"/>
        <v>#VALUE!</v>
      </c>
      <c r="M161" s="120" t="str">
        <f t="shared" si="1"/>
        <v>_</v>
      </c>
    </row>
    <row r="162" spans="12:13">
      <c r="L162" t="e">
        <f t="shared" si="0"/>
        <v>#VALUE!</v>
      </c>
      <c r="M162" s="120" t="str">
        <f t="shared" si="1"/>
        <v>_</v>
      </c>
    </row>
    <row r="163" spans="12:13">
      <c r="L163" t="e">
        <f t="shared" si="0"/>
        <v>#VALUE!</v>
      </c>
      <c r="M163" s="120" t="str">
        <f t="shared" si="1"/>
        <v>_</v>
      </c>
    </row>
    <row r="164" spans="12:13">
      <c r="L164" t="e">
        <f t="shared" si="0"/>
        <v>#VALUE!</v>
      </c>
      <c r="M164" s="120" t="str">
        <f t="shared" si="1"/>
        <v>_</v>
      </c>
    </row>
    <row r="165" spans="12:13">
      <c r="L165" t="e">
        <f t="shared" si="0"/>
        <v>#VALUE!</v>
      </c>
      <c r="M165" s="120" t="str">
        <f t="shared" si="1"/>
        <v>_</v>
      </c>
    </row>
    <row r="166" spans="12:13">
      <c r="L166" t="e">
        <f t="shared" si="0"/>
        <v>#VALUE!</v>
      </c>
      <c r="M166" s="120" t="str">
        <f t="shared" si="1"/>
        <v>_</v>
      </c>
    </row>
    <row r="167" spans="12:13">
      <c r="L167" t="e">
        <f t="shared" si="0"/>
        <v>#VALUE!</v>
      </c>
      <c r="M167" s="120" t="str">
        <f t="shared" si="1"/>
        <v>_</v>
      </c>
    </row>
    <row r="168" spans="12:13">
      <c r="L168" t="e">
        <f t="shared" si="0"/>
        <v>#VALUE!</v>
      </c>
      <c r="M168" s="120" t="str">
        <f t="shared" si="1"/>
        <v>_</v>
      </c>
    </row>
    <row r="169" spans="12:13">
      <c r="L169" t="e">
        <f t="shared" si="0"/>
        <v>#VALUE!</v>
      </c>
      <c r="M169" s="120" t="str">
        <f t="shared" si="1"/>
        <v>_</v>
      </c>
    </row>
    <row r="170" spans="12:13">
      <c r="L170" t="e">
        <f t="shared" si="0"/>
        <v>#VALUE!</v>
      </c>
      <c r="M170" s="120" t="str">
        <f t="shared" si="1"/>
        <v>_</v>
      </c>
    </row>
    <row r="171" spans="12:13">
      <c r="L171" t="e">
        <f t="shared" si="0"/>
        <v>#VALUE!</v>
      </c>
      <c r="M171" s="120" t="str">
        <f t="shared" si="1"/>
        <v>_</v>
      </c>
    </row>
    <row r="172" spans="12:13">
      <c r="L172" t="e">
        <f t="shared" si="0"/>
        <v>#VALUE!</v>
      </c>
      <c r="M172" s="120" t="str">
        <f t="shared" si="1"/>
        <v>_</v>
      </c>
    </row>
    <row r="173" spans="12:13">
      <c r="L173" t="e">
        <f t="shared" si="0"/>
        <v>#VALUE!</v>
      </c>
      <c r="M173" s="120" t="str">
        <f t="shared" si="1"/>
        <v>_</v>
      </c>
    </row>
    <row r="174" spans="12:13">
      <c r="L174" t="e">
        <f t="shared" si="0"/>
        <v>#VALUE!</v>
      </c>
      <c r="M174" s="120" t="str">
        <f t="shared" si="1"/>
        <v>_</v>
      </c>
    </row>
    <row r="175" spans="12:13">
      <c r="L175" t="e">
        <f t="shared" si="0"/>
        <v>#VALUE!</v>
      </c>
      <c r="M175" s="120" t="str">
        <f t="shared" si="1"/>
        <v>_</v>
      </c>
    </row>
    <row r="176" spans="12:13">
      <c r="L176" t="e">
        <f t="shared" si="0"/>
        <v>#VALUE!</v>
      </c>
      <c r="M176" s="120" t="str">
        <f t="shared" si="1"/>
        <v>_</v>
      </c>
    </row>
    <row r="177" spans="12:13">
      <c r="L177" t="e">
        <f t="shared" si="0"/>
        <v>#VALUE!</v>
      </c>
      <c r="M177" s="120" t="str">
        <f t="shared" si="1"/>
        <v>_</v>
      </c>
    </row>
    <row r="178" spans="12:13">
      <c r="L178" t="e">
        <f t="shared" si="0"/>
        <v>#VALUE!</v>
      </c>
      <c r="M178" s="120" t="str">
        <f t="shared" si="1"/>
        <v>_</v>
      </c>
    </row>
    <row r="179" spans="12:13">
      <c r="L179" t="e">
        <f t="shared" si="0"/>
        <v>#VALUE!</v>
      </c>
      <c r="M179" s="120" t="str">
        <f t="shared" si="1"/>
        <v>_</v>
      </c>
    </row>
    <row r="180" spans="12:13">
      <c r="L180" t="e">
        <f t="shared" si="0"/>
        <v>#VALUE!</v>
      </c>
      <c r="M180" s="120" t="str">
        <f t="shared" si="1"/>
        <v>_</v>
      </c>
    </row>
    <row r="181" spans="12:13">
      <c r="L181" t="e">
        <f t="shared" si="0"/>
        <v>#VALUE!</v>
      </c>
      <c r="M181" s="120" t="str">
        <f t="shared" si="1"/>
        <v>_</v>
      </c>
    </row>
    <row r="182" spans="12:13">
      <c r="L182" t="e">
        <f t="shared" si="0"/>
        <v>#VALUE!</v>
      </c>
      <c r="M182" s="120" t="str">
        <f t="shared" si="1"/>
        <v>_</v>
      </c>
    </row>
    <row r="183" spans="12:13">
      <c r="L183" t="e">
        <f t="shared" si="0"/>
        <v>#VALUE!</v>
      </c>
      <c r="M183" s="120" t="str">
        <f t="shared" si="1"/>
        <v>_</v>
      </c>
    </row>
    <row r="184" spans="12:13">
      <c r="L184" t="e">
        <f t="shared" si="0"/>
        <v>#VALUE!</v>
      </c>
      <c r="M184" s="120" t="str">
        <f t="shared" si="1"/>
        <v>_</v>
      </c>
    </row>
    <row r="185" spans="12:13">
      <c r="M185" s="152"/>
    </row>
    <row r="186" spans="12:13">
      <c r="M186" s="152"/>
    </row>
    <row r="187" spans="12:13">
      <c r="M187" s="152"/>
    </row>
    <row r="188" spans="12:13">
      <c r="M188" s="152"/>
    </row>
    <row r="189" spans="12:13">
      <c r="M189" s="152"/>
    </row>
    <row r="190" spans="12:13">
      <c r="M190" s="152"/>
    </row>
    <row r="191" spans="12:13">
      <c r="M191" s="152"/>
    </row>
    <row r="192" spans="12:13">
      <c r="M192" s="152"/>
    </row>
    <row r="193" spans="13:13">
      <c r="M193" s="152"/>
    </row>
    <row r="194" spans="13:13">
      <c r="M194" s="152"/>
    </row>
    <row r="195" spans="13:13">
      <c r="M195" s="152"/>
    </row>
    <row r="196" spans="13:13">
      <c r="M196" s="152"/>
    </row>
    <row r="197" spans="13:13">
      <c r="M197" s="152"/>
    </row>
    <row r="198" spans="13:13">
      <c r="M198" s="152"/>
    </row>
    <row r="199" spans="13:13">
      <c r="M199" s="152"/>
    </row>
    <row r="200" spans="13:13">
      <c r="M200" s="152"/>
    </row>
    <row r="201" spans="13:13">
      <c r="M201" s="152"/>
    </row>
    <row r="202" spans="13:13">
      <c r="M202" s="152"/>
    </row>
    <row r="203" spans="13:13">
      <c r="M203" s="152"/>
    </row>
    <row r="204" spans="13:13">
      <c r="M204" s="152"/>
    </row>
    <row r="205" spans="13:13">
      <c r="M205" s="152"/>
    </row>
    <row r="206" spans="13:13">
      <c r="M206" s="152"/>
    </row>
    <row r="207" spans="13:13">
      <c r="M207" s="152"/>
    </row>
    <row r="208" spans="13:13">
      <c r="M208" s="152"/>
    </row>
    <row r="209" spans="13:13">
      <c r="M209" s="152"/>
    </row>
    <row r="210" spans="13:13">
      <c r="M210" s="152"/>
    </row>
    <row r="211" spans="13:13">
      <c r="M211" s="152"/>
    </row>
    <row r="212" spans="13:13">
      <c r="M212" s="152"/>
    </row>
    <row r="213" spans="13:13">
      <c r="M213" s="152"/>
    </row>
    <row r="214" spans="13:13">
      <c r="M214" s="152"/>
    </row>
    <row r="215" spans="13:13">
      <c r="M215" s="152"/>
    </row>
    <row r="216" spans="13:13">
      <c r="M216" s="152"/>
    </row>
    <row r="217" spans="13:13">
      <c r="M217" s="152"/>
    </row>
    <row r="218" spans="13:13">
      <c r="M218" s="152"/>
    </row>
    <row r="219" spans="13:13">
      <c r="M219" s="152"/>
    </row>
    <row r="220" spans="13:13">
      <c r="M220" s="152"/>
    </row>
    <row r="221" spans="13:13">
      <c r="M221" s="152"/>
    </row>
    <row r="222" spans="13:13">
      <c r="M222" s="152"/>
    </row>
    <row r="223" spans="13:13">
      <c r="M223" s="152"/>
    </row>
    <row r="224" spans="13:13">
      <c r="M224" s="152"/>
    </row>
    <row r="225" spans="13:13">
      <c r="M225" s="152"/>
    </row>
    <row r="226" spans="13:13">
      <c r="M226" s="152"/>
    </row>
    <row r="227" spans="13:13">
      <c r="M227" s="152"/>
    </row>
    <row r="228" spans="13:13">
      <c r="M228" s="152"/>
    </row>
    <row r="229" spans="13:13">
      <c r="M229" s="152"/>
    </row>
    <row r="230" spans="13:13">
      <c r="M230" s="152"/>
    </row>
    <row r="231" spans="13:13">
      <c r="M231" s="152"/>
    </row>
    <row r="232" spans="13:13">
      <c r="M232" s="152"/>
    </row>
    <row r="233" spans="13:13">
      <c r="M233" s="152"/>
    </row>
    <row r="234" spans="13:13">
      <c r="M234" s="152"/>
    </row>
    <row r="235" spans="13:13">
      <c r="M235" s="152"/>
    </row>
    <row r="236" spans="13:13">
      <c r="M236" s="152"/>
    </row>
    <row r="237" spans="13:13">
      <c r="M237" s="152"/>
    </row>
    <row r="238" spans="13:13">
      <c r="M238" s="152"/>
    </row>
    <row r="239" spans="13:13">
      <c r="M239" s="152"/>
    </row>
    <row r="240" spans="13:13">
      <c r="M240" s="152"/>
    </row>
    <row r="241" spans="13:13">
      <c r="M241" s="152"/>
    </row>
    <row r="242" spans="13:13">
      <c r="M242" s="152"/>
    </row>
    <row r="243" spans="13:13">
      <c r="M243" s="152"/>
    </row>
    <row r="244" spans="13:13">
      <c r="M244" s="152"/>
    </row>
    <row r="245" spans="13:13">
      <c r="M245" s="152"/>
    </row>
    <row r="246" spans="13:13">
      <c r="M246" s="152"/>
    </row>
    <row r="247" spans="13:13">
      <c r="M247" s="152"/>
    </row>
    <row r="248" spans="13:13">
      <c r="M248" s="152"/>
    </row>
    <row r="249" spans="13:13">
      <c r="M249" s="152"/>
    </row>
    <row r="250" spans="13:13">
      <c r="M250" s="152"/>
    </row>
    <row r="251" spans="13:13">
      <c r="M251" s="152"/>
    </row>
    <row r="252" spans="13:13">
      <c r="M252" s="152"/>
    </row>
    <row r="253" spans="13:13">
      <c r="M253" s="152"/>
    </row>
    <row r="254" spans="13:13">
      <c r="M254" s="152"/>
    </row>
    <row r="255" spans="13:13">
      <c r="M255" s="152"/>
    </row>
    <row r="256" spans="13:13">
      <c r="M256" s="152"/>
    </row>
    <row r="257" spans="13:13">
      <c r="M257" s="152"/>
    </row>
    <row r="258" spans="13:13">
      <c r="M258" s="152"/>
    </row>
    <row r="259" spans="13:13">
      <c r="M259" s="152"/>
    </row>
    <row r="260" spans="13:13">
      <c r="M260" s="152"/>
    </row>
    <row r="261" spans="13:13">
      <c r="M261" s="152"/>
    </row>
    <row r="262" spans="13:13">
      <c r="M262" s="152"/>
    </row>
    <row r="263" spans="13:13">
      <c r="M263" s="152"/>
    </row>
    <row r="264" spans="13:13">
      <c r="M264" s="152"/>
    </row>
    <row r="265" spans="13:13">
      <c r="M265" s="152"/>
    </row>
    <row r="266" spans="13:13">
      <c r="M266" s="152"/>
    </row>
    <row r="267" spans="13:13">
      <c r="M267" s="152"/>
    </row>
    <row r="268" spans="13:13">
      <c r="M268" s="152"/>
    </row>
    <row r="269" spans="13:13">
      <c r="M269" s="152"/>
    </row>
    <row r="270" spans="13:13">
      <c r="M270" s="152"/>
    </row>
    <row r="271" spans="13:13">
      <c r="M271" s="152"/>
    </row>
    <row r="272" spans="13:13">
      <c r="M272" s="152"/>
    </row>
    <row r="273" spans="13:13">
      <c r="M273" s="152"/>
    </row>
    <row r="274" spans="13:13">
      <c r="M274" s="152"/>
    </row>
    <row r="275" spans="13:13">
      <c r="M275" s="152"/>
    </row>
    <row r="276" spans="13:13">
      <c r="M276" s="152"/>
    </row>
    <row r="277" spans="13:13">
      <c r="M277" s="152"/>
    </row>
    <row r="278" spans="13:13">
      <c r="M278" s="152"/>
    </row>
    <row r="279" spans="13:13">
      <c r="M279" s="152"/>
    </row>
    <row r="280" spans="13:13">
      <c r="M280" s="152"/>
    </row>
    <row r="281" spans="13:13">
      <c r="M281" s="152"/>
    </row>
    <row r="282" spans="13:13">
      <c r="M282" s="152"/>
    </row>
    <row r="283" spans="13:13">
      <c r="M283" s="152"/>
    </row>
    <row r="284" spans="13:13">
      <c r="M284" s="152"/>
    </row>
    <row r="285" spans="13:13">
      <c r="M285" s="152"/>
    </row>
    <row r="286" spans="13:13">
      <c r="M286" s="152"/>
    </row>
    <row r="287" spans="13:13">
      <c r="M287" s="152"/>
    </row>
    <row r="288" spans="13:13">
      <c r="M288" s="152"/>
    </row>
    <row r="289" spans="13:13">
      <c r="M289" s="152"/>
    </row>
    <row r="290" spans="13:13">
      <c r="M290" s="152"/>
    </row>
    <row r="291" spans="13:13">
      <c r="M291" s="152"/>
    </row>
    <row r="292" spans="13:13">
      <c r="M292" s="152"/>
    </row>
    <row r="293" spans="13:13">
      <c r="M293" s="152"/>
    </row>
    <row r="294" spans="13:13">
      <c r="M294" s="152"/>
    </row>
    <row r="295" spans="13:13">
      <c r="M295" s="152"/>
    </row>
    <row r="296" spans="13:13">
      <c r="M296" s="152"/>
    </row>
    <row r="297" spans="13:13">
      <c r="M297" s="152"/>
    </row>
    <row r="298" spans="13:13">
      <c r="M298" s="152"/>
    </row>
    <row r="299" spans="13:13">
      <c r="M299" s="152"/>
    </row>
    <row r="300" spans="13:13">
      <c r="M300" s="152"/>
    </row>
    <row r="301" spans="13:13">
      <c r="M301" s="152"/>
    </row>
    <row r="302" spans="13:13">
      <c r="M302" s="152"/>
    </row>
    <row r="303" spans="13:13">
      <c r="M303" s="152"/>
    </row>
    <row r="304" spans="13:13">
      <c r="M304" s="152"/>
    </row>
    <row r="305" spans="13:13">
      <c r="M305" s="152"/>
    </row>
    <row r="306" spans="13:13">
      <c r="M306" s="152"/>
    </row>
    <row r="307" spans="13:13">
      <c r="M307" s="152"/>
    </row>
    <row r="308" spans="13:13">
      <c r="M308" s="152"/>
    </row>
    <row r="309" spans="13:13">
      <c r="M309" s="152"/>
    </row>
    <row r="310" spans="13:13">
      <c r="M310" s="152"/>
    </row>
    <row r="311" spans="13:13">
      <c r="M311" s="152"/>
    </row>
    <row r="312" spans="13:13">
      <c r="M312" s="152"/>
    </row>
    <row r="313" spans="13:13">
      <c r="M313" s="152"/>
    </row>
    <row r="314" spans="13:13">
      <c r="M314" s="152"/>
    </row>
    <row r="315" spans="13:13">
      <c r="M315" s="152"/>
    </row>
    <row r="316" spans="13:13">
      <c r="M316" s="152"/>
    </row>
    <row r="317" spans="13:13">
      <c r="M317" s="152"/>
    </row>
    <row r="318" spans="13:13">
      <c r="M318" s="152"/>
    </row>
    <row r="319" spans="13:13">
      <c r="M319" s="152"/>
    </row>
    <row r="320" spans="13:13">
      <c r="M320" s="152"/>
    </row>
    <row r="321" spans="13:13">
      <c r="M321" s="152"/>
    </row>
    <row r="322" spans="13:13">
      <c r="M322" s="152"/>
    </row>
    <row r="323" spans="13:13">
      <c r="M323" s="152"/>
    </row>
    <row r="324" spans="13:13">
      <c r="M324" s="152"/>
    </row>
    <row r="325" spans="13:13">
      <c r="M325" s="152"/>
    </row>
    <row r="326" spans="13:13">
      <c r="M326" s="152"/>
    </row>
    <row r="327" spans="13:13">
      <c r="M327" s="152"/>
    </row>
    <row r="328" spans="13:13">
      <c r="M328" s="152"/>
    </row>
    <row r="329" spans="13:13">
      <c r="M329" s="152"/>
    </row>
    <row r="330" spans="13:13">
      <c r="M330" s="152"/>
    </row>
    <row r="331" spans="13:13">
      <c r="M331" s="152"/>
    </row>
    <row r="332" spans="13:13">
      <c r="M332" s="152"/>
    </row>
    <row r="333" spans="13:13">
      <c r="M333" s="152"/>
    </row>
    <row r="334" spans="13:13">
      <c r="M334" s="152"/>
    </row>
    <row r="335" spans="13:13">
      <c r="M335" s="152"/>
    </row>
    <row r="336" spans="13:13">
      <c r="M336" s="152"/>
    </row>
    <row r="337" spans="13:13">
      <c r="M337" s="152"/>
    </row>
    <row r="338" spans="13:13">
      <c r="M338" s="152"/>
    </row>
    <row r="339" spans="13:13">
      <c r="M339" s="152"/>
    </row>
    <row r="340" spans="13:13">
      <c r="M340" s="152"/>
    </row>
    <row r="341" spans="13:13">
      <c r="M341" s="152"/>
    </row>
    <row r="342" spans="13:13">
      <c r="M342" s="152"/>
    </row>
    <row r="343" spans="13:13">
      <c r="M343" s="152"/>
    </row>
    <row r="344" spans="13:13">
      <c r="M344" s="152"/>
    </row>
    <row r="345" spans="13:13">
      <c r="M345" s="152"/>
    </row>
    <row r="346" spans="13:13">
      <c r="M346" s="152"/>
    </row>
    <row r="347" spans="13:13">
      <c r="M347" s="152"/>
    </row>
    <row r="348" spans="13:13">
      <c r="M348" s="152"/>
    </row>
    <row r="349" spans="13:13">
      <c r="M349" s="152"/>
    </row>
    <row r="350" spans="13:13">
      <c r="M350" s="152"/>
    </row>
    <row r="351" spans="13:13">
      <c r="M351" s="152"/>
    </row>
    <row r="352" spans="13:13">
      <c r="M352" s="152"/>
    </row>
    <row r="353" spans="13:13">
      <c r="M353" s="152"/>
    </row>
    <row r="354" spans="13:13">
      <c r="M354" s="152"/>
    </row>
    <row r="355" spans="13:13">
      <c r="M355" s="152"/>
    </row>
    <row r="356" spans="13:13">
      <c r="M356" s="152"/>
    </row>
    <row r="357" spans="13:13">
      <c r="M357" s="152"/>
    </row>
    <row r="358" spans="13:13">
      <c r="M358" s="152"/>
    </row>
    <row r="359" spans="13:13">
      <c r="M359" s="152"/>
    </row>
    <row r="360" spans="13:13">
      <c r="M360" s="152"/>
    </row>
    <row r="361" spans="13:13">
      <c r="M361" s="152"/>
    </row>
    <row r="362" spans="13:13">
      <c r="M362" s="152"/>
    </row>
    <row r="363" spans="13:13">
      <c r="M363" s="152"/>
    </row>
    <row r="364" spans="13:13">
      <c r="M364" s="152"/>
    </row>
    <row r="365" spans="13:13">
      <c r="M365" s="152"/>
    </row>
    <row r="366" spans="13:13">
      <c r="M366" s="152"/>
    </row>
    <row r="367" spans="13:13">
      <c r="M367" s="152"/>
    </row>
    <row r="368" spans="13:13">
      <c r="M368" s="152"/>
    </row>
    <row r="369" spans="13:13">
      <c r="M369" s="152"/>
    </row>
    <row r="370" spans="13:13">
      <c r="M370" s="152"/>
    </row>
    <row r="371" spans="13:13">
      <c r="M371" s="152"/>
    </row>
    <row r="372" spans="13:13">
      <c r="M372" s="152"/>
    </row>
    <row r="373" spans="13:13">
      <c r="M373" s="152"/>
    </row>
    <row r="374" spans="13:13">
      <c r="M374" s="152"/>
    </row>
    <row r="375" spans="13:13">
      <c r="M375" s="152"/>
    </row>
    <row r="376" spans="13:13">
      <c r="M376" s="152"/>
    </row>
    <row r="377" spans="13:13">
      <c r="M377" s="152"/>
    </row>
    <row r="378" spans="13:13">
      <c r="M378" s="152"/>
    </row>
    <row r="379" spans="13:13">
      <c r="M379" s="152"/>
    </row>
    <row r="380" spans="13:13">
      <c r="M380" s="152"/>
    </row>
    <row r="381" spans="13:13">
      <c r="M381" s="152"/>
    </row>
    <row r="382" spans="13:13">
      <c r="M382" s="152"/>
    </row>
    <row r="383" spans="13:13">
      <c r="M383" s="152"/>
    </row>
    <row r="384" spans="13:13">
      <c r="M384" s="152"/>
    </row>
    <row r="385" spans="13:13">
      <c r="M385" s="152"/>
    </row>
    <row r="386" spans="13:13">
      <c r="M386" s="152"/>
    </row>
    <row r="387" spans="13:13">
      <c r="M387" s="152"/>
    </row>
    <row r="388" spans="13:13">
      <c r="M388" s="152"/>
    </row>
    <row r="389" spans="13:13">
      <c r="M389" s="152"/>
    </row>
    <row r="390" spans="13:13">
      <c r="M390" s="152"/>
    </row>
    <row r="391" spans="13:13">
      <c r="M391" s="152"/>
    </row>
    <row r="392" spans="13:13">
      <c r="M392" s="152"/>
    </row>
    <row r="393" spans="13:13">
      <c r="M393" s="152"/>
    </row>
    <row r="394" spans="13:13">
      <c r="M394" s="152"/>
    </row>
    <row r="395" spans="13:13">
      <c r="M395" s="152"/>
    </row>
    <row r="396" spans="13:13">
      <c r="M396" s="152"/>
    </row>
    <row r="397" spans="13:13">
      <c r="M397" s="152"/>
    </row>
    <row r="398" spans="13:13">
      <c r="M398" s="152"/>
    </row>
    <row r="399" spans="13:13">
      <c r="M399" s="152"/>
    </row>
    <row r="400" spans="13:13">
      <c r="M400" s="152"/>
    </row>
    <row r="401" spans="13:13">
      <c r="M401" s="152"/>
    </row>
    <row r="402" spans="13:13">
      <c r="M402" s="152"/>
    </row>
    <row r="403" spans="13:13">
      <c r="M403" s="152"/>
    </row>
    <row r="404" spans="13:13">
      <c r="M404" s="152"/>
    </row>
    <row r="405" spans="13:13">
      <c r="M405" s="152"/>
    </row>
    <row r="406" spans="13:13">
      <c r="M406" s="152"/>
    </row>
    <row r="407" spans="13:13">
      <c r="M407" s="152"/>
    </row>
    <row r="408" spans="13:13">
      <c r="M408" s="152"/>
    </row>
    <row r="409" spans="13:13">
      <c r="M409" s="152"/>
    </row>
    <row r="410" spans="13:13">
      <c r="M410" s="152"/>
    </row>
    <row r="411" spans="13:13">
      <c r="M411" s="152"/>
    </row>
    <row r="412" spans="13:13">
      <c r="M412" s="152"/>
    </row>
    <row r="413" spans="13:13">
      <c r="M413" s="152"/>
    </row>
    <row r="414" spans="13:13">
      <c r="M414" s="152"/>
    </row>
    <row r="415" spans="13:13">
      <c r="M415" s="152"/>
    </row>
    <row r="416" spans="13:13">
      <c r="M416" s="152"/>
    </row>
    <row r="417" spans="13:13">
      <c r="M417" s="152"/>
    </row>
    <row r="418" spans="13:13">
      <c r="M418" s="152"/>
    </row>
    <row r="419" spans="13:13">
      <c r="M419" s="152"/>
    </row>
    <row r="420" spans="13:13">
      <c r="M420" s="152"/>
    </row>
    <row r="421" spans="13:13">
      <c r="M421" s="152"/>
    </row>
    <row r="422" spans="13:13">
      <c r="M422" s="152"/>
    </row>
    <row r="423" spans="13:13">
      <c r="M423" s="152"/>
    </row>
    <row r="424" spans="13:13">
      <c r="M424" s="152"/>
    </row>
    <row r="425" spans="13:13">
      <c r="M425" s="152"/>
    </row>
    <row r="426" spans="13:13">
      <c r="M426" s="152"/>
    </row>
    <row r="427" spans="13:13">
      <c r="M427" s="152"/>
    </row>
    <row r="428" spans="13:13">
      <c r="M428" s="152"/>
    </row>
    <row r="429" spans="13:13">
      <c r="M429" s="152"/>
    </row>
    <row r="430" spans="13:13">
      <c r="M430" s="152"/>
    </row>
    <row r="431" spans="13:13">
      <c r="M431" s="152"/>
    </row>
    <row r="432" spans="13:13">
      <c r="M432" s="152"/>
    </row>
    <row r="433" spans="13:13">
      <c r="M433" s="152"/>
    </row>
    <row r="434" spans="13:13">
      <c r="M434" s="152"/>
    </row>
    <row r="435" spans="13:13">
      <c r="M435" s="152"/>
    </row>
    <row r="436" spans="13:13">
      <c r="M436" s="152"/>
    </row>
    <row r="437" spans="13:13">
      <c r="M437" s="152"/>
    </row>
    <row r="438" spans="13:13">
      <c r="M438" s="152"/>
    </row>
    <row r="439" spans="13:13">
      <c r="M439" s="152"/>
    </row>
    <row r="440" spans="13:13">
      <c r="M440" s="152"/>
    </row>
    <row r="441" spans="13:13">
      <c r="M441" s="152"/>
    </row>
    <row r="442" spans="13:13">
      <c r="M442" s="152"/>
    </row>
    <row r="443" spans="13:13">
      <c r="M443" s="152"/>
    </row>
    <row r="444" spans="13:13">
      <c r="M444" s="152"/>
    </row>
    <row r="445" spans="13:13">
      <c r="M445" s="152"/>
    </row>
    <row r="446" spans="13:13">
      <c r="M446" s="152"/>
    </row>
    <row r="447" spans="13:13">
      <c r="M447" s="152"/>
    </row>
    <row r="448" spans="13:13">
      <c r="M448" s="152"/>
    </row>
    <row r="449" spans="13:13">
      <c r="M449" s="152"/>
    </row>
    <row r="450" spans="13:13">
      <c r="M450" s="152"/>
    </row>
    <row r="451" spans="13:13">
      <c r="M451" s="152"/>
    </row>
    <row r="452" spans="13:13">
      <c r="M452" s="152"/>
    </row>
    <row r="453" spans="13:13">
      <c r="M453" s="152"/>
    </row>
    <row r="454" spans="13:13">
      <c r="M454" s="152"/>
    </row>
    <row r="455" spans="13:13">
      <c r="M455" s="152"/>
    </row>
    <row r="456" spans="13:13">
      <c r="M456" s="152"/>
    </row>
    <row r="457" spans="13:13">
      <c r="M457" s="152"/>
    </row>
    <row r="458" spans="13:13">
      <c r="M458" s="152"/>
    </row>
    <row r="459" spans="13:13">
      <c r="M459" s="152"/>
    </row>
    <row r="460" spans="13:13">
      <c r="M460" s="152"/>
    </row>
    <row r="461" spans="13:13">
      <c r="M461" s="152"/>
    </row>
    <row r="462" spans="13:13">
      <c r="M462" s="152"/>
    </row>
    <row r="463" spans="13:13">
      <c r="M463" s="152"/>
    </row>
    <row r="464" spans="13:13">
      <c r="M464" s="152"/>
    </row>
    <row r="465" spans="13:13">
      <c r="M465" s="152"/>
    </row>
    <row r="466" spans="13:13">
      <c r="M466" s="152"/>
    </row>
    <row r="467" spans="13:13">
      <c r="M467" s="152"/>
    </row>
    <row r="468" spans="13:13">
      <c r="M468" s="152"/>
    </row>
    <row r="469" spans="13:13">
      <c r="M469" s="152"/>
    </row>
    <row r="470" spans="13:13">
      <c r="M470" s="152"/>
    </row>
    <row r="471" spans="13:13">
      <c r="M471" s="152"/>
    </row>
    <row r="472" spans="13:13">
      <c r="M472" s="152"/>
    </row>
    <row r="473" spans="13:13">
      <c r="M473" s="152"/>
    </row>
    <row r="474" spans="13:13">
      <c r="M474" s="152"/>
    </row>
    <row r="475" spans="13:13">
      <c r="M475" s="152"/>
    </row>
    <row r="476" spans="13:13">
      <c r="M476" s="152"/>
    </row>
    <row r="477" spans="13:13">
      <c r="M477" s="152"/>
    </row>
    <row r="478" spans="13:13">
      <c r="M478" s="152"/>
    </row>
    <row r="479" spans="13:13">
      <c r="M479" s="152"/>
    </row>
    <row r="480" spans="13:13">
      <c r="M480" s="152"/>
    </row>
    <row r="481" spans="13:13">
      <c r="M481" s="152"/>
    </row>
    <row r="482" spans="13:13">
      <c r="M482" s="152"/>
    </row>
    <row r="483" spans="13:13">
      <c r="M483" s="152"/>
    </row>
    <row r="484" spans="13:13">
      <c r="M484" s="152"/>
    </row>
    <row r="485" spans="13:13">
      <c r="M485" s="152"/>
    </row>
    <row r="486" spans="13:13">
      <c r="M486" s="152"/>
    </row>
    <row r="487" spans="13:13">
      <c r="M487" s="152"/>
    </row>
    <row r="488" spans="13:13">
      <c r="M488" s="152"/>
    </row>
    <row r="489" spans="13:13">
      <c r="M489" s="152"/>
    </row>
    <row r="490" spans="13:13">
      <c r="M490" s="152"/>
    </row>
    <row r="491" spans="13:13">
      <c r="M491" s="152"/>
    </row>
    <row r="492" spans="13:13">
      <c r="M492" s="152"/>
    </row>
    <row r="493" spans="13:13">
      <c r="M493" s="152"/>
    </row>
    <row r="494" spans="13:13">
      <c r="M494" s="152"/>
    </row>
    <row r="495" spans="13:13">
      <c r="M495" s="152"/>
    </row>
    <row r="496" spans="13:13">
      <c r="M496" s="152"/>
    </row>
    <row r="497" spans="13:13">
      <c r="M497" s="152"/>
    </row>
    <row r="498" spans="13:13">
      <c r="M498" s="152"/>
    </row>
    <row r="499" spans="13:13">
      <c r="M499" s="152"/>
    </row>
    <row r="500" spans="13:13">
      <c r="M500" s="152"/>
    </row>
    <row r="501" spans="13:13">
      <c r="M501" s="152"/>
    </row>
    <row r="502" spans="13:13">
      <c r="M502" s="152"/>
    </row>
    <row r="503" spans="13:13">
      <c r="M503" s="152"/>
    </row>
    <row r="504" spans="13:13">
      <c r="M504" s="152"/>
    </row>
    <row r="505" spans="13:13">
      <c r="M505" s="152"/>
    </row>
    <row r="506" spans="13:13">
      <c r="M506" s="152"/>
    </row>
    <row r="507" spans="13:13">
      <c r="M507" s="152"/>
    </row>
    <row r="508" spans="13:13">
      <c r="M508" s="152"/>
    </row>
    <row r="509" spans="13:13">
      <c r="M509" s="152"/>
    </row>
    <row r="510" spans="13:13">
      <c r="M510" s="152"/>
    </row>
    <row r="511" spans="13:13">
      <c r="M511" s="152"/>
    </row>
    <row r="512" spans="13:13">
      <c r="M512" s="152"/>
    </row>
    <row r="513" spans="13:13">
      <c r="M513" s="152"/>
    </row>
    <row r="514" spans="13:13">
      <c r="M514" s="152"/>
    </row>
    <row r="515" spans="13:13">
      <c r="M515" s="152"/>
    </row>
    <row r="516" spans="13:13">
      <c r="M516" s="152"/>
    </row>
    <row r="517" spans="13:13">
      <c r="M517" s="152"/>
    </row>
    <row r="518" spans="13:13">
      <c r="M518" s="152"/>
    </row>
    <row r="519" spans="13:13">
      <c r="M519" s="152"/>
    </row>
    <row r="520" spans="13:13">
      <c r="M520" s="152"/>
    </row>
    <row r="521" spans="13:13">
      <c r="M521" s="152"/>
    </row>
    <row r="522" spans="13:13">
      <c r="M522" s="152"/>
    </row>
    <row r="523" spans="13:13">
      <c r="M523" s="152"/>
    </row>
    <row r="524" spans="13:13">
      <c r="M524" s="152"/>
    </row>
    <row r="525" spans="13:13">
      <c r="M525" s="152"/>
    </row>
    <row r="526" spans="13:13">
      <c r="M526" s="152"/>
    </row>
    <row r="527" spans="13:13">
      <c r="M527" s="152"/>
    </row>
    <row r="528" spans="13:13">
      <c r="M528" s="152"/>
    </row>
    <row r="529" spans="13:13">
      <c r="M529" s="152"/>
    </row>
    <row r="530" spans="13:13">
      <c r="M530" s="152"/>
    </row>
    <row r="531" spans="13:13">
      <c r="M531" s="152"/>
    </row>
    <row r="532" spans="13:13">
      <c r="M532" s="152"/>
    </row>
    <row r="533" spans="13:13">
      <c r="M533" s="152"/>
    </row>
    <row r="534" spans="13:13">
      <c r="M534" s="152"/>
    </row>
    <row r="535" spans="13:13">
      <c r="M535" s="152"/>
    </row>
    <row r="536" spans="13:13">
      <c r="M536" s="152"/>
    </row>
    <row r="537" spans="13:13">
      <c r="M537" s="152"/>
    </row>
    <row r="538" spans="13:13">
      <c r="M538" s="152"/>
    </row>
    <row r="539" spans="13:13">
      <c r="M539" s="152"/>
    </row>
    <row r="540" spans="13:13">
      <c r="M540" s="152"/>
    </row>
    <row r="541" spans="13:13">
      <c r="M541" s="152"/>
    </row>
    <row r="542" spans="13:13">
      <c r="M542" s="152"/>
    </row>
    <row r="543" spans="13:13">
      <c r="M543" s="152"/>
    </row>
    <row r="544" spans="13:13">
      <c r="M544" s="152"/>
    </row>
    <row r="545" spans="13:13">
      <c r="M545" s="152"/>
    </row>
    <row r="546" spans="13:13">
      <c r="M546" s="152"/>
    </row>
    <row r="547" spans="13:13">
      <c r="M547" s="152"/>
    </row>
    <row r="548" spans="13:13">
      <c r="M548" s="152"/>
    </row>
    <row r="549" spans="13:13">
      <c r="M549" s="152"/>
    </row>
    <row r="550" spans="13:13">
      <c r="M550" s="152"/>
    </row>
    <row r="551" spans="13:13">
      <c r="M551" s="152"/>
    </row>
    <row r="552" spans="13:13">
      <c r="M552" s="152"/>
    </row>
    <row r="553" spans="13:13">
      <c r="M553" s="152"/>
    </row>
    <row r="554" spans="13:13">
      <c r="M554" s="152"/>
    </row>
    <row r="555" spans="13:13">
      <c r="M555" s="152"/>
    </row>
    <row r="556" spans="13:13">
      <c r="M556" s="152"/>
    </row>
    <row r="557" spans="13:13">
      <c r="M557" s="152"/>
    </row>
    <row r="558" spans="13:13">
      <c r="M558" s="152"/>
    </row>
    <row r="559" spans="13:13">
      <c r="M559" s="152"/>
    </row>
    <row r="560" spans="13:13">
      <c r="M560" s="152"/>
    </row>
    <row r="561" spans="13:13">
      <c r="M561" s="152"/>
    </row>
    <row r="562" spans="13:13">
      <c r="M562" s="152"/>
    </row>
    <row r="563" spans="13:13">
      <c r="M563" s="152"/>
    </row>
    <row r="564" spans="13:13">
      <c r="M564" s="152"/>
    </row>
    <row r="565" spans="13:13">
      <c r="M565" s="152"/>
    </row>
    <row r="566" spans="13:13">
      <c r="M566" s="152"/>
    </row>
    <row r="567" spans="13:13">
      <c r="M567" s="152"/>
    </row>
    <row r="568" spans="13:13">
      <c r="M568" s="152"/>
    </row>
    <row r="569" spans="13:13">
      <c r="M569" s="152"/>
    </row>
    <row r="570" spans="13:13">
      <c r="M570" s="152"/>
    </row>
    <row r="571" spans="13:13">
      <c r="M571" s="152"/>
    </row>
    <row r="572" spans="13:13">
      <c r="M572" s="152"/>
    </row>
    <row r="573" spans="13:13">
      <c r="M573" s="152"/>
    </row>
    <row r="574" spans="13:13">
      <c r="M574" s="152"/>
    </row>
    <row r="575" spans="13:13">
      <c r="M575" s="152"/>
    </row>
    <row r="576" spans="13:13">
      <c r="M576" s="152"/>
    </row>
    <row r="577" spans="13:13">
      <c r="M577" s="152"/>
    </row>
    <row r="578" spans="13:13">
      <c r="M578" s="152"/>
    </row>
    <row r="579" spans="13:13">
      <c r="M579" s="152"/>
    </row>
    <row r="580" spans="13:13">
      <c r="M580" s="152"/>
    </row>
    <row r="581" spans="13:13">
      <c r="M581" s="152"/>
    </row>
    <row r="582" spans="13:13">
      <c r="M582" s="152"/>
    </row>
    <row r="583" spans="13:13">
      <c r="M583" s="152"/>
    </row>
    <row r="584" spans="13:13">
      <c r="M584" s="152"/>
    </row>
    <row r="585" spans="13:13">
      <c r="M585" s="152"/>
    </row>
    <row r="586" spans="13:13">
      <c r="M586" s="152"/>
    </row>
    <row r="587" spans="13:13">
      <c r="M587" s="152"/>
    </row>
    <row r="588" spans="13:13">
      <c r="M588" s="152"/>
    </row>
    <row r="589" spans="13:13">
      <c r="M589" s="152"/>
    </row>
    <row r="590" spans="13:13">
      <c r="M590" s="152"/>
    </row>
    <row r="591" spans="13:13">
      <c r="M591" s="152"/>
    </row>
    <row r="592" spans="13:13">
      <c r="M592" s="152"/>
    </row>
    <row r="593" spans="13:13">
      <c r="M593" s="152"/>
    </row>
    <row r="594" spans="13:13">
      <c r="M594" s="152"/>
    </row>
    <row r="595" spans="13:13">
      <c r="M595" s="152"/>
    </row>
    <row r="596" spans="13:13">
      <c r="M596" s="152"/>
    </row>
    <row r="597" spans="13:13">
      <c r="M597" s="152"/>
    </row>
    <row r="598" spans="13:13">
      <c r="M598" s="152"/>
    </row>
    <row r="599" spans="13:13">
      <c r="M599" s="152"/>
    </row>
    <row r="600" spans="13:13">
      <c r="M600" s="152"/>
    </row>
    <row r="601" spans="13:13">
      <c r="M601" s="152"/>
    </row>
    <row r="602" spans="13:13">
      <c r="M602" s="152"/>
    </row>
    <row r="603" spans="13:13">
      <c r="M603" s="152"/>
    </row>
    <row r="604" spans="13:13">
      <c r="M604" s="152"/>
    </row>
    <row r="605" spans="13:13">
      <c r="M605" s="152"/>
    </row>
    <row r="606" spans="13:13">
      <c r="M606" s="152"/>
    </row>
    <row r="607" spans="13:13">
      <c r="M607" s="152"/>
    </row>
    <row r="608" spans="13:13">
      <c r="M608" s="152"/>
    </row>
    <row r="609" spans="13:13">
      <c r="M609" s="152"/>
    </row>
    <row r="610" spans="13:13">
      <c r="M610" s="152"/>
    </row>
    <row r="611" spans="13:13">
      <c r="M611" s="152"/>
    </row>
    <row r="612" spans="13:13">
      <c r="M612" s="152"/>
    </row>
    <row r="613" spans="13:13">
      <c r="M613" s="152"/>
    </row>
    <row r="614" spans="13:13">
      <c r="M614" s="152"/>
    </row>
    <row r="615" spans="13:13">
      <c r="M615" s="152"/>
    </row>
    <row r="616" spans="13:13">
      <c r="M616" s="152"/>
    </row>
    <row r="617" spans="13:13">
      <c r="M617" s="152"/>
    </row>
    <row r="618" spans="13:13">
      <c r="M618" s="152"/>
    </row>
    <row r="619" spans="13:13">
      <c r="M619" s="152"/>
    </row>
    <row r="620" spans="13:13">
      <c r="M620" s="152"/>
    </row>
    <row r="621" spans="13:13">
      <c r="M621" s="152"/>
    </row>
    <row r="622" spans="13:13">
      <c r="M622" s="152"/>
    </row>
    <row r="623" spans="13:13">
      <c r="M623" s="152"/>
    </row>
    <row r="624" spans="13:13">
      <c r="M624" s="152"/>
    </row>
    <row r="625" spans="13:13">
      <c r="M625" s="152"/>
    </row>
    <row r="626" spans="13:13">
      <c r="M626" s="152"/>
    </row>
    <row r="627" spans="13:13">
      <c r="M627" s="152"/>
    </row>
    <row r="628" spans="13:13">
      <c r="M628" s="152"/>
    </row>
    <row r="629" spans="13:13">
      <c r="M629" s="152"/>
    </row>
    <row r="630" spans="13:13">
      <c r="M630" s="152"/>
    </row>
    <row r="631" spans="13:13">
      <c r="M631" s="152"/>
    </row>
    <row r="632" spans="13:13">
      <c r="M632" s="152"/>
    </row>
    <row r="633" spans="13:13">
      <c r="M633" s="152"/>
    </row>
    <row r="634" spans="13:13">
      <c r="M634" s="152"/>
    </row>
    <row r="635" spans="13:13">
      <c r="M635" s="152"/>
    </row>
    <row r="636" spans="13:13">
      <c r="M636" s="152"/>
    </row>
    <row r="637" spans="13:13">
      <c r="M637" s="152"/>
    </row>
    <row r="638" spans="13:13">
      <c r="M638" s="152"/>
    </row>
    <row r="639" spans="13:13">
      <c r="M639" s="152"/>
    </row>
    <row r="640" spans="13:13">
      <c r="M640" s="152"/>
    </row>
    <row r="641" spans="13:13">
      <c r="M641" s="152"/>
    </row>
    <row r="642" spans="13:13">
      <c r="M642" s="152"/>
    </row>
    <row r="643" spans="13:13">
      <c r="M643" s="152"/>
    </row>
    <row r="644" spans="13:13">
      <c r="M644" s="152"/>
    </row>
    <row r="645" spans="13:13">
      <c r="M645" s="152"/>
    </row>
    <row r="646" spans="13:13">
      <c r="M646" s="152"/>
    </row>
    <row r="647" spans="13:13">
      <c r="M647" s="152"/>
    </row>
    <row r="648" spans="13:13">
      <c r="M648" s="152"/>
    </row>
    <row r="649" spans="13:13">
      <c r="M649" s="152"/>
    </row>
    <row r="650" spans="13:13">
      <c r="M650" s="152"/>
    </row>
    <row r="651" spans="13:13">
      <c r="M651" s="152"/>
    </row>
    <row r="652" spans="13:13">
      <c r="M652" s="152"/>
    </row>
    <row r="653" spans="13:13">
      <c r="M653" s="152"/>
    </row>
    <row r="654" spans="13:13">
      <c r="M654" s="152"/>
    </row>
    <row r="655" spans="13:13">
      <c r="M655" s="152"/>
    </row>
    <row r="656" spans="13:13">
      <c r="M656" s="152"/>
    </row>
    <row r="657" spans="13:13">
      <c r="M657" s="152"/>
    </row>
    <row r="658" spans="13:13">
      <c r="M658" s="152"/>
    </row>
    <row r="659" spans="13:13">
      <c r="M659" s="152"/>
    </row>
    <row r="660" spans="13:13">
      <c r="M660" s="152"/>
    </row>
    <row r="661" spans="13:13">
      <c r="M661" s="152"/>
    </row>
    <row r="662" spans="13:13">
      <c r="M662" s="152"/>
    </row>
    <row r="663" spans="13:13">
      <c r="M663" s="152"/>
    </row>
    <row r="664" spans="13:13">
      <c r="M664" s="152"/>
    </row>
    <row r="665" spans="13:13">
      <c r="M665" s="152"/>
    </row>
    <row r="666" spans="13:13">
      <c r="M666" s="152"/>
    </row>
    <row r="667" spans="13:13">
      <c r="M667" s="152"/>
    </row>
    <row r="668" spans="13:13">
      <c r="M668" s="152"/>
    </row>
    <row r="669" spans="13:13">
      <c r="M669" s="152"/>
    </row>
    <row r="670" spans="13:13">
      <c r="M670" s="152"/>
    </row>
    <row r="671" spans="13:13">
      <c r="M671" s="152"/>
    </row>
    <row r="672" spans="13:13">
      <c r="M672" s="152"/>
    </row>
    <row r="673" spans="13:13">
      <c r="M673" s="152"/>
    </row>
    <row r="674" spans="13:13">
      <c r="M674" s="152"/>
    </row>
    <row r="675" spans="13:13">
      <c r="M675" s="152"/>
    </row>
    <row r="676" spans="13:13">
      <c r="M676" s="152"/>
    </row>
    <row r="677" spans="13:13">
      <c r="M677" s="152"/>
    </row>
    <row r="678" spans="13:13">
      <c r="M678" s="152"/>
    </row>
    <row r="679" spans="13:13">
      <c r="M679" s="152"/>
    </row>
    <row r="680" spans="13:13">
      <c r="M680" s="152"/>
    </row>
    <row r="681" spans="13:13">
      <c r="M681" s="152"/>
    </row>
    <row r="682" spans="13:13">
      <c r="M682" s="152"/>
    </row>
    <row r="683" spans="13:13">
      <c r="M683" s="152"/>
    </row>
    <row r="684" spans="13:13">
      <c r="M684" s="152"/>
    </row>
    <row r="685" spans="13:13">
      <c r="M685" s="152"/>
    </row>
    <row r="686" spans="13:13">
      <c r="M686" s="152"/>
    </row>
    <row r="687" spans="13:13">
      <c r="M687" s="152"/>
    </row>
    <row r="688" spans="13:13">
      <c r="M688" s="152"/>
    </row>
    <row r="689" spans="13:13">
      <c r="M689" s="152"/>
    </row>
    <row r="690" spans="13:13">
      <c r="M690" s="152"/>
    </row>
    <row r="691" spans="13:13">
      <c r="M691" s="152"/>
    </row>
    <row r="692" spans="13:13">
      <c r="M692" s="152"/>
    </row>
    <row r="693" spans="13:13">
      <c r="M693" s="152"/>
    </row>
    <row r="694" spans="13:13">
      <c r="M694" s="152"/>
    </row>
    <row r="695" spans="13:13">
      <c r="M695" s="152"/>
    </row>
    <row r="696" spans="13:13">
      <c r="M696" s="152"/>
    </row>
    <row r="697" spans="13:13">
      <c r="M697" s="152"/>
    </row>
    <row r="698" spans="13:13">
      <c r="M698" s="152"/>
    </row>
    <row r="699" spans="13:13">
      <c r="M699" s="152"/>
    </row>
    <row r="700" spans="13:13">
      <c r="M700" s="152"/>
    </row>
    <row r="701" spans="13:13">
      <c r="M701" s="152"/>
    </row>
    <row r="702" spans="13:13">
      <c r="M702" s="152"/>
    </row>
    <row r="703" spans="13:13">
      <c r="M703" s="152"/>
    </row>
    <row r="704" spans="13:13">
      <c r="M704" s="152"/>
    </row>
    <row r="705" spans="13:13">
      <c r="M705" s="152"/>
    </row>
    <row r="706" spans="13:13">
      <c r="M706" s="152"/>
    </row>
    <row r="707" spans="13:13">
      <c r="M707" s="152"/>
    </row>
    <row r="708" spans="13:13">
      <c r="M708" s="152"/>
    </row>
    <row r="709" spans="13:13">
      <c r="M709" s="152"/>
    </row>
    <row r="710" spans="13:13">
      <c r="M710" s="152"/>
    </row>
    <row r="711" spans="13:13">
      <c r="M711" s="152"/>
    </row>
    <row r="712" spans="13:13">
      <c r="M712" s="152"/>
    </row>
    <row r="713" spans="13:13">
      <c r="M713" s="152"/>
    </row>
    <row r="714" spans="13:13">
      <c r="M714" s="152"/>
    </row>
    <row r="715" spans="13:13">
      <c r="M715" s="152"/>
    </row>
    <row r="716" spans="13:13">
      <c r="M716" s="152"/>
    </row>
    <row r="717" spans="13:13">
      <c r="M717" s="152"/>
    </row>
    <row r="718" spans="13:13">
      <c r="M718" s="152"/>
    </row>
    <row r="719" spans="13:13">
      <c r="M719" s="152"/>
    </row>
    <row r="720" spans="13:13">
      <c r="M720" s="152"/>
    </row>
    <row r="721" spans="13:13">
      <c r="M721" s="152"/>
    </row>
    <row r="722" spans="13:13">
      <c r="M722" s="152"/>
    </row>
    <row r="723" spans="13:13">
      <c r="M723" s="152"/>
    </row>
    <row r="724" spans="13:13">
      <c r="M724" s="152"/>
    </row>
    <row r="725" spans="13:13">
      <c r="M725" s="152"/>
    </row>
    <row r="726" spans="13:13">
      <c r="M726" s="152"/>
    </row>
    <row r="727" spans="13:13">
      <c r="M727" s="152"/>
    </row>
    <row r="728" spans="13:13">
      <c r="M728" s="152"/>
    </row>
    <row r="729" spans="13:13">
      <c r="M729" s="152"/>
    </row>
    <row r="730" spans="13:13">
      <c r="M730" s="152"/>
    </row>
    <row r="731" spans="13:13">
      <c r="M731" s="152"/>
    </row>
    <row r="732" spans="13:13">
      <c r="M732" s="152"/>
    </row>
    <row r="733" spans="13:13">
      <c r="M733" s="152"/>
    </row>
    <row r="734" spans="13:13">
      <c r="M734" s="152"/>
    </row>
    <row r="735" spans="13:13">
      <c r="M735" s="152"/>
    </row>
    <row r="736" spans="13:13">
      <c r="M736" s="152"/>
    </row>
    <row r="737" spans="13:13">
      <c r="M737" s="152"/>
    </row>
    <row r="738" spans="13:13">
      <c r="M738" s="152"/>
    </row>
    <row r="739" spans="13:13">
      <c r="M739" s="152"/>
    </row>
    <row r="740" spans="13:13">
      <c r="M740" s="152"/>
    </row>
    <row r="741" spans="13:13">
      <c r="M741" s="152"/>
    </row>
    <row r="742" spans="13:13">
      <c r="M742" s="152"/>
    </row>
    <row r="743" spans="13:13">
      <c r="M743" s="152"/>
    </row>
    <row r="744" spans="13:13">
      <c r="M744" s="152"/>
    </row>
    <row r="745" spans="13:13">
      <c r="M745" s="152"/>
    </row>
    <row r="746" spans="13:13">
      <c r="M746" s="152"/>
    </row>
    <row r="747" spans="13:13">
      <c r="M747" s="152"/>
    </row>
    <row r="748" spans="13:13">
      <c r="M748" s="152"/>
    </row>
    <row r="749" spans="13:13">
      <c r="M749" s="152"/>
    </row>
    <row r="750" spans="13:13">
      <c r="M750" s="152"/>
    </row>
    <row r="751" spans="13:13">
      <c r="M751" s="152"/>
    </row>
    <row r="752" spans="13:13">
      <c r="M752" s="152"/>
    </row>
    <row r="753" spans="13:13">
      <c r="M753" s="152"/>
    </row>
    <row r="754" spans="13:13">
      <c r="M754" s="152"/>
    </row>
    <row r="755" spans="13:13">
      <c r="M755" s="152"/>
    </row>
    <row r="756" spans="13:13">
      <c r="M756" s="152"/>
    </row>
    <row r="757" spans="13:13">
      <c r="M757" s="152"/>
    </row>
    <row r="758" spans="13:13">
      <c r="M758" s="152"/>
    </row>
    <row r="759" spans="13:13">
      <c r="M759" s="152"/>
    </row>
    <row r="760" spans="13:13">
      <c r="M760" s="152"/>
    </row>
    <row r="761" spans="13:13">
      <c r="M761" s="152"/>
    </row>
    <row r="762" spans="13:13">
      <c r="M762" s="152"/>
    </row>
    <row r="763" spans="13:13">
      <c r="M763" s="152"/>
    </row>
    <row r="764" spans="13:13">
      <c r="M764" s="152"/>
    </row>
    <row r="765" spans="13:13">
      <c r="M765" s="152"/>
    </row>
    <row r="766" spans="13:13">
      <c r="M766" s="152"/>
    </row>
    <row r="767" spans="13:13">
      <c r="M767" s="152"/>
    </row>
    <row r="768" spans="13:13">
      <c r="M768" s="152"/>
    </row>
    <row r="769" spans="13:13">
      <c r="M769" s="152"/>
    </row>
    <row r="770" spans="13:13">
      <c r="M770" s="152"/>
    </row>
    <row r="771" spans="13:13">
      <c r="M771" s="152"/>
    </row>
    <row r="772" spans="13:13">
      <c r="M772" s="152"/>
    </row>
    <row r="773" spans="13:13">
      <c r="M773" s="152"/>
    </row>
    <row r="774" spans="13:13">
      <c r="M774" s="152"/>
    </row>
    <row r="775" spans="13:13">
      <c r="M775" s="152"/>
    </row>
    <row r="776" spans="13:13">
      <c r="M776" s="152"/>
    </row>
    <row r="777" spans="13:13">
      <c r="M777" s="152"/>
    </row>
    <row r="778" spans="13:13">
      <c r="M778" s="152"/>
    </row>
    <row r="779" spans="13:13">
      <c r="M779" s="152"/>
    </row>
    <row r="780" spans="13:13">
      <c r="M780" s="152"/>
    </row>
    <row r="781" spans="13:13">
      <c r="M781" s="152"/>
    </row>
    <row r="782" spans="13:13">
      <c r="M782" s="152"/>
    </row>
    <row r="783" spans="13:13">
      <c r="M783" s="152"/>
    </row>
    <row r="784" spans="13:13">
      <c r="M784" s="152"/>
    </row>
    <row r="785" spans="13:13">
      <c r="M785" s="152"/>
    </row>
    <row r="786" spans="13:13">
      <c r="M786" s="152"/>
    </row>
    <row r="787" spans="13:13">
      <c r="M787" s="152"/>
    </row>
    <row r="788" spans="13:13">
      <c r="M788" s="152"/>
    </row>
    <row r="789" spans="13:13">
      <c r="M789" s="152"/>
    </row>
    <row r="790" spans="13:13">
      <c r="M790" s="152"/>
    </row>
    <row r="791" spans="13:13">
      <c r="M791" s="152"/>
    </row>
    <row r="792" spans="13:13">
      <c r="M792" s="152"/>
    </row>
    <row r="793" spans="13:13">
      <c r="M793" s="152"/>
    </row>
    <row r="794" spans="13:13">
      <c r="M794" s="152"/>
    </row>
    <row r="795" spans="13:13">
      <c r="M795" s="152"/>
    </row>
    <row r="796" spans="13:13">
      <c r="M796" s="152"/>
    </row>
    <row r="797" spans="13:13">
      <c r="M797" s="152"/>
    </row>
    <row r="798" spans="13:13">
      <c r="M798" s="152"/>
    </row>
    <row r="799" spans="13:13">
      <c r="M799" s="152"/>
    </row>
    <row r="800" spans="13:13">
      <c r="M800" s="152"/>
    </row>
    <row r="801" spans="13:13">
      <c r="M801" s="152"/>
    </row>
    <row r="802" spans="13:13">
      <c r="M802" s="152"/>
    </row>
    <row r="803" spans="13:13">
      <c r="M803" s="152"/>
    </row>
    <row r="804" spans="13:13">
      <c r="M804" s="152"/>
    </row>
    <row r="805" spans="13:13">
      <c r="M805" s="152"/>
    </row>
    <row r="806" spans="13:13">
      <c r="M806" s="152"/>
    </row>
    <row r="807" spans="13:13">
      <c r="M807" s="152"/>
    </row>
    <row r="808" spans="13:13">
      <c r="M808" s="152"/>
    </row>
    <row r="809" spans="13:13">
      <c r="M809" s="152"/>
    </row>
    <row r="810" spans="13:13">
      <c r="M810" s="152"/>
    </row>
    <row r="811" spans="13:13">
      <c r="M811" s="152"/>
    </row>
    <row r="812" spans="13:13">
      <c r="M812" s="152"/>
    </row>
    <row r="813" spans="13:13">
      <c r="M813" s="152"/>
    </row>
    <row r="814" spans="13:13">
      <c r="M814" s="152"/>
    </row>
    <row r="815" spans="13:13">
      <c r="M815" s="152"/>
    </row>
    <row r="816" spans="13:13">
      <c r="M816" s="152"/>
    </row>
    <row r="817" spans="13:13">
      <c r="M817" s="152"/>
    </row>
    <row r="818" spans="13:13">
      <c r="M818" s="152"/>
    </row>
    <row r="819" spans="13:13">
      <c r="M819" s="152"/>
    </row>
    <row r="820" spans="13:13">
      <c r="M820" s="152"/>
    </row>
    <row r="821" spans="13:13">
      <c r="M821" s="152"/>
    </row>
    <row r="822" spans="13:13">
      <c r="M822" s="152"/>
    </row>
    <row r="823" spans="13:13">
      <c r="M823" s="152"/>
    </row>
    <row r="824" spans="13:13">
      <c r="M824" s="152"/>
    </row>
    <row r="825" spans="13:13">
      <c r="M825" s="152"/>
    </row>
    <row r="826" spans="13:13">
      <c r="M826" s="152"/>
    </row>
    <row r="827" spans="13:13">
      <c r="M827" s="152"/>
    </row>
    <row r="828" spans="13:13">
      <c r="M828" s="152"/>
    </row>
    <row r="829" spans="13:13">
      <c r="M829" s="152"/>
    </row>
    <row r="830" spans="13:13">
      <c r="M830" s="152"/>
    </row>
    <row r="831" spans="13:13">
      <c r="M831" s="152"/>
    </row>
    <row r="832" spans="13:13">
      <c r="M832" s="152"/>
    </row>
    <row r="833" spans="13:13">
      <c r="M833" s="152"/>
    </row>
    <row r="834" spans="13:13">
      <c r="M834" s="152"/>
    </row>
    <row r="835" spans="13:13">
      <c r="M835" s="152"/>
    </row>
    <row r="836" spans="13:13">
      <c r="M836" s="152"/>
    </row>
    <row r="837" spans="13:13">
      <c r="M837" s="152"/>
    </row>
    <row r="838" spans="13:13">
      <c r="M838" s="152"/>
    </row>
    <row r="839" spans="13:13">
      <c r="M839" s="152"/>
    </row>
    <row r="840" spans="13:13">
      <c r="M840" s="152"/>
    </row>
    <row r="841" spans="13:13">
      <c r="M841" s="152"/>
    </row>
    <row r="842" spans="13:13">
      <c r="M842" s="152"/>
    </row>
    <row r="843" spans="13:13">
      <c r="M843" s="152"/>
    </row>
    <row r="844" spans="13:13">
      <c r="M844" s="152"/>
    </row>
    <row r="845" spans="13:13">
      <c r="M845" s="152"/>
    </row>
    <row r="846" spans="13:13">
      <c r="M846" s="152"/>
    </row>
    <row r="847" spans="13:13">
      <c r="M847" s="152"/>
    </row>
    <row r="848" spans="13:13">
      <c r="M848" s="152"/>
    </row>
    <row r="849" spans="13:13">
      <c r="M849" s="152"/>
    </row>
    <row r="850" spans="13:13">
      <c r="M850" s="152"/>
    </row>
    <row r="851" spans="13:13">
      <c r="M851" s="152"/>
    </row>
    <row r="852" spans="13:13">
      <c r="M852" s="152"/>
    </row>
    <row r="853" spans="13:13">
      <c r="M853" s="152"/>
    </row>
    <row r="854" spans="13:13">
      <c r="M854" s="152"/>
    </row>
    <row r="855" spans="13:13">
      <c r="M855" s="152"/>
    </row>
    <row r="856" spans="13:13">
      <c r="M856" s="152"/>
    </row>
    <row r="857" spans="13:13">
      <c r="M857" s="152"/>
    </row>
    <row r="858" spans="13:13">
      <c r="M858" s="152"/>
    </row>
    <row r="859" spans="13:13">
      <c r="M859" s="152"/>
    </row>
    <row r="860" spans="13:13">
      <c r="M860" s="152"/>
    </row>
    <row r="861" spans="13:13">
      <c r="M861" s="152"/>
    </row>
    <row r="862" spans="13:13">
      <c r="M862" s="152"/>
    </row>
    <row r="863" spans="13:13">
      <c r="M863" s="152"/>
    </row>
    <row r="864" spans="13:13">
      <c r="M864" s="152"/>
    </row>
    <row r="865" spans="13:13">
      <c r="M865" s="152"/>
    </row>
    <row r="866" spans="13:13">
      <c r="M866" s="152"/>
    </row>
    <row r="867" spans="13:13">
      <c r="M867" s="152"/>
    </row>
    <row r="868" spans="13:13">
      <c r="M868" s="152"/>
    </row>
    <row r="869" spans="13:13">
      <c r="M869" s="152"/>
    </row>
    <row r="870" spans="13:13">
      <c r="M870" s="152"/>
    </row>
    <row r="871" spans="13:13">
      <c r="M871" s="152"/>
    </row>
    <row r="872" spans="13:13">
      <c r="M872" s="152"/>
    </row>
    <row r="873" spans="13:13">
      <c r="M873" s="152"/>
    </row>
    <row r="874" spans="13:13">
      <c r="M874" s="152"/>
    </row>
    <row r="875" spans="13:13">
      <c r="M875" s="152"/>
    </row>
    <row r="876" spans="13:13">
      <c r="M876" s="152"/>
    </row>
    <row r="877" spans="13:13">
      <c r="M877" s="152"/>
    </row>
    <row r="878" spans="13:13">
      <c r="M878" s="152"/>
    </row>
    <row r="879" spans="13:13">
      <c r="M879" s="152"/>
    </row>
    <row r="880" spans="13:13">
      <c r="M880" s="152"/>
    </row>
    <row r="881" spans="13:13">
      <c r="M881" s="152"/>
    </row>
    <row r="882" spans="13:13">
      <c r="M882" s="152"/>
    </row>
    <row r="883" spans="13:13">
      <c r="M883" s="152"/>
    </row>
    <row r="884" spans="13:13">
      <c r="M884" s="152"/>
    </row>
    <row r="885" spans="13:13">
      <c r="M885" s="152"/>
    </row>
    <row r="886" spans="13:13">
      <c r="M886" s="152"/>
    </row>
    <row r="887" spans="13:13">
      <c r="M887" s="152"/>
    </row>
    <row r="888" spans="13:13">
      <c r="M888" s="152"/>
    </row>
    <row r="889" spans="13:13">
      <c r="M889" s="152"/>
    </row>
    <row r="890" spans="13:13">
      <c r="M890" s="152"/>
    </row>
    <row r="891" spans="13:13">
      <c r="M891" s="152"/>
    </row>
    <row r="892" spans="13:13">
      <c r="M892" s="152"/>
    </row>
    <row r="893" spans="13:13">
      <c r="M893" s="152"/>
    </row>
    <row r="894" spans="13:13">
      <c r="M894" s="152"/>
    </row>
    <row r="895" spans="13:13">
      <c r="M895" s="152"/>
    </row>
    <row r="896" spans="13:13">
      <c r="M896" s="152"/>
    </row>
    <row r="897" spans="13:13">
      <c r="M897" s="152"/>
    </row>
    <row r="898" spans="13:13">
      <c r="M898" s="152"/>
    </row>
    <row r="899" spans="13:13">
      <c r="M899" s="152"/>
    </row>
    <row r="900" spans="13:13">
      <c r="M900" s="152"/>
    </row>
    <row r="901" spans="13:13">
      <c r="M901" s="152"/>
    </row>
    <row r="902" spans="13:13">
      <c r="M902" s="152"/>
    </row>
    <row r="903" spans="13:13">
      <c r="M903" s="152"/>
    </row>
    <row r="904" spans="13:13">
      <c r="M904" s="152"/>
    </row>
    <row r="905" spans="13:13">
      <c r="M905" s="152"/>
    </row>
    <row r="906" spans="13:13">
      <c r="M906" s="152"/>
    </row>
    <row r="907" spans="13:13">
      <c r="M907" s="152"/>
    </row>
    <row r="908" spans="13:13">
      <c r="M908" s="152"/>
    </row>
    <row r="909" spans="13:13">
      <c r="M909" s="152"/>
    </row>
    <row r="910" spans="13:13">
      <c r="M910" s="152"/>
    </row>
    <row r="911" spans="13:13">
      <c r="M911" s="152"/>
    </row>
    <row r="912" spans="13:13">
      <c r="M912" s="152"/>
    </row>
    <row r="913" spans="13:13">
      <c r="M913" s="152"/>
    </row>
    <row r="914" spans="13:13">
      <c r="M914" s="152"/>
    </row>
    <row r="915" spans="13:13">
      <c r="M915" s="152"/>
    </row>
    <row r="916" spans="13:13">
      <c r="M916" s="152"/>
    </row>
    <row r="917" spans="13:13">
      <c r="M917" s="152"/>
    </row>
    <row r="918" spans="13:13">
      <c r="M918" s="152"/>
    </row>
    <row r="919" spans="13:13">
      <c r="M919" s="152"/>
    </row>
    <row r="920" spans="13:13">
      <c r="M920" s="152"/>
    </row>
    <row r="921" spans="13:13">
      <c r="M921" s="152"/>
    </row>
    <row r="922" spans="13:13">
      <c r="M922" s="152"/>
    </row>
    <row r="923" spans="13:13">
      <c r="M923" s="152"/>
    </row>
    <row r="924" spans="13:13">
      <c r="M924" s="152"/>
    </row>
    <row r="925" spans="13:13">
      <c r="M925" s="152"/>
    </row>
    <row r="926" spans="13:13">
      <c r="M926" s="152"/>
    </row>
    <row r="927" spans="13:13">
      <c r="M927" s="152"/>
    </row>
    <row r="928" spans="13:13">
      <c r="M928" s="152"/>
    </row>
    <row r="929" spans="13:13">
      <c r="M929" s="152"/>
    </row>
    <row r="930" spans="13:13">
      <c r="M930" s="152"/>
    </row>
    <row r="931" spans="13:13">
      <c r="M931" s="152"/>
    </row>
    <row r="932" spans="13:13">
      <c r="M932" s="152"/>
    </row>
    <row r="933" spans="13:13">
      <c r="M933" s="152"/>
    </row>
    <row r="934" spans="13:13">
      <c r="M934" s="152"/>
    </row>
    <row r="935" spans="13:13">
      <c r="M935" s="152"/>
    </row>
    <row r="936" spans="13:13">
      <c r="M936" s="152"/>
    </row>
    <row r="937" spans="13:13">
      <c r="M937" s="152"/>
    </row>
    <row r="938" spans="13:13">
      <c r="M938" s="152"/>
    </row>
    <row r="939" spans="13:13">
      <c r="M939" s="152"/>
    </row>
    <row r="940" spans="13:13">
      <c r="M940" s="152"/>
    </row>
    <row r="941" spans="13:13">
      <c r="M941" s="152"/>
    </row>
    <row r="942" spans="13:13">
      <c r="M942" s="152"/>
    </row>
    <row r="943" spans="13:13">
      <c r="M943" s="152"/>
    </row>
    <row r="944" spans="13:13">
      <c r="M944" s="152"/>
    </row>
    <row r="945" spans="13:13">
      <c r="M945" s="152"/>
    </row>
    <row r="946" spans="13:13">
      <c r="M946" s="152"/>
    </row>
    <row r="947" spans="13:13">
      <c r="M947" s="152"/>
    </row>
    <row r="948" spans="13:13">
      <c r="M948" s="152"/>
    </row>
    <row r="949" spans="13:13">
      <c r="M949" s="152"/>
    </row>
    <row r="950" spans="13:13">
      <c r="M950" s="152"/>
    </row>
    <row r="951" spans="13:13">
      <c r="M951" s="152"/>
    </row>
    <row r="952" spans="13:13">
      <c r="M952" s="152"/>
    </row>
    <row r="953" spans="13:13">
      <c r="M953" s="152"/>
    </row>
    <row r="954" spans="13:13">
      <c r="M954" s="152"/>
    </row>
    <row r="955" spans="13:13">
      <c r="M955" s="152"/>
    </row>
    <row r="956" spans="13:13">
      <c r="M956" s="152"/>
    </row>
    <row r="957" spans="13:13">
      <c r="M957" s="152"/>
    </row>
    <row r="958" spans="13:13">
      <c r="M958" s="152"/>
    </row>
    <row r="959" spans="13:13">
      <c r="M959" s="152"/>
    </row>
    <row r="960" spans="13:13">
      <c r="M960" s="152"/>
    </row>
    <row r="961" spans="13:13">
      <c r="M961" s="152"/>
    </row>
    <row r="962" spans="13:13">
      <c r="M962" s="152"/>
    </row>
    <row r="963" spans="13:13">
      <c r="M963" s="152"/>
    </row>
    <row r="964" spans="13:13">
      <c r="M964" s="152"/>
    </row>
    <row r="965" spans="13:13">
      <c r="M965" s="152"/>
    </row>
    <row r="966" spans="13:13">
      <c r="M966" s="152"/>
    </row>
    <row r="967" spans="13:13">
      <c r="M967" s="152"/>
    </row>
    <row r="968" spans="13:13">
      <c r="M968" s="152"/>
    </row>
    <row r="969" spans="13:13">
      <c r="M969" s="152"/>
    </row>
    <row r="970" spans="13:13">
      <c r="M970" s="152"/>
    </row>
    <row r="971" spans="13:13">
      <c r="M971" s="152"/>
    </row>
    <row r="972" spans="13:13">
      <c r="M972" s="152"/>
    </row>
    <row r="973" spans="13:13">
      <c r="M973" s="152"/>
    </row>
    <row r="974" spans="13:13">
      <c r="M974" s="152"/>
    </row>
    <row r="975" spans="13:13">
      <c r="M975" s="152"/>
    </row>
    <row r="976" spans="13:13">
      <c r="M976" s="152"/>
    </row>
    <row r="977" spans="13:13">
      <c r="M977" s="152"/>
    </row>
    <row r="978" spans="13:13">
      <c r="M978" s="152"/>
    </row>
    <row r="979" spans="13:13">
      <c r="M979" s="152"/>
    </row>
    <row r="980" spans="13:13">
      <c r="M980" s="152"/>
    </row>
    <row r="981" spans="13:13">
      <c r="M981" s="152"/>
    </row>
    <row r="982" spans="13:13">
      <c r="M982" s="152"/>
    </row>
    <row r="983" spans="13:13">
      <c r="M983" s="152"/>
    </row>
    <row r="984" spans="13:13">
      <c r="M984" s="152"/>
    </row>
    <row r="985" spans="13:13">
      <c r="M985" s="152"/>
    </row>
    <row r="986" spans="13:13">
      <c r="M986" s="152"/>
    </row>
    <row r="987" spans="13:13">
      <c r="M987" s="152"/>
    </row>
    <row r="988" spans="13:13">
      <c r="M988" s="152"/>
    </row>
    <row r="989" spans="13:13">
      <c r="M989" s="152"/>
    </row>
    <row r="990" spans="13:13">
      <c r="M990" s="152"/>
    </row>
    <row r="991" spans="13:13">
      <c r="M991" s="152"/>
    </row>
    <row r="992" spans="13:13">
      <c r="M992" s="152"/>
    </row>
    <row r="993" spans="13:13">
      <c r="M993" s="152"/>
    </row>
    <row r="994" spans="13:13">
      <c r="M994" s="152"/>
    </row>
    <row r="995" spans="13:13">
      <c r="M995" s="152"/>
    </row>
    <row r="996" spans="13:13">
      <c r="M996" s="152"/>
    </row>
    <row r="997" spans="13:13">
      <c r="M997" s="152"/>
    </row>
    <row r="998" spans="13:13">
      <c r="M998" s="152"/>
    </row>
    <row r="999" spans="13:13">
      <c r="M999" s="152"/>
    </row>
    <row r="1000" spans="13:13">
      <c r="M1000" s="152"/>
    </row>
    <row r="1001" spans="13:13">
      <c r="M1001" s="152"/>
    </row>
  </sheetData>
  <dataValidations count="7">
    <dataValidation type="list" allowBlank="1" sqref="D6:D184" xr:uid="{00000000-0002-0000-1900-000000000000}">
      <formula1>$B$36:$B$39</formula1>
    </dataValidation>
    <dataValidation type="list" allowBlank="1" sqref="F6:F184" xr:uid="{00000000-0002-0000-1900-000001000000}">
      <formula1>$B$42:$B$54</formula1>
    </dataValidation>
    <dataValidation type="list" allowBlank="1" sqref="I6:I184" xr:uid="{00000000-0002-0000-1900-000002000000}">
      <formula1>$B$30:$B$33</formula1>
    </dataValidation>
    <dataValidation type="list" allowBlank="1" sqref="H6:H184" xr:uid="{00000000-0002-0000-1900-000003000000}">
      <formula1>$B$11:$B$15</formula1>
    </dataValidation>
    <dataValidation type="list" allowBlank="1" sqref="G6:G184" xr:uid="{00000000-0002-0000-1900-000004000000}">
      <formula1>$B$17:$B$24</formula1>
    </dataValidation>
    <dataValidation type="list" allowBlank="1" sqref="N6:N184" xr:uid="{00000000-0002-0000-1900-000005000000}">
      <formula1>$A$57:$A$60</formula1>
    </dataValidation>
    <dataValidation type="list" allowBlank="1" sqref="E6:E184" xr:uid="{00000000-0002-0000-1900-000006000000}">
      <formula1>$B$5:$B$6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5A3D-3144-1848-91F7-D61E564F777C}">
  <dimension ref="A1"/>
  <sheetViews>
    <sheetView workbookViewId="0"/>
  </sheetViews>
  <sheetFormatPr baseColWidth="10" defaultRowHeight="1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H13"/>
  <sheetViews>
    <sheetView workbookViewId="0">
      <selection activeCell="AC12" sqref="AC12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17</v>
      </c>
      <c r="C3" s="20" t="s">
        <v>17</v>
      </c>
      <c r="D3" s="21" t="s">
        <v>18</v>
      </c>
      <c r="E3" s="18" t="s">
        <v>17</v>
      </c>
      <c r="F3" s="18" t="s">
        <v>17</v>
      </c>
      <c r="G3" s="18" t="s">
        <v>17</v>
      </c>
      <c r="H3" s="18"/>
      <c r="I3" s="21"/>
      <c r="J3" s="22"/>
      <c r="K3" s="22"/>
      <c r="L3" s="22"/>
      <c r="M3" s="22"/>
      <c r="N3" s="6"/>
      <c r="O3" s="23" t="s">
        <v>14</v>
      </c>
      <c r="P3" s="18">
        <v>20</v>
      </c>
      <c r="Q3" s="18">
        <v>33</v>
      </c>
      <c r="R3" s="18">
        <v>253</v>
      </c>
      <c r="S3" s="18" t="s">
        <v>37</v>
      </c>
      <c r="T3" s="18" t="s">
        <v>37</v>
      </c>
      <c r="U3" s="18">
        <v>33</v>
      </c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29</v>
      </c>
      <c r="AE3" s="27">
        <f>COUNTIFS(P3:AA10,"&gt;0",P3:AA10,"&lt;51",B3:M10,"=i")</f>
        <v>22</v>
      </c>
      <c r="AF3" s="28">
        <f>COUNTIFS(P3:AA10,"&gt;0",P3:AA10,"&lt;51",B3:M10,"=s")</f>
        <v>7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17</v>
      </c>
      <c r="C4" s="18" t="s">
        <v>17</v>
      </c>
      <c r="D4" s="18" t="s">
        <v>18</v>
      </c>
      <c r="E4" s="18" t="s">
        <v>18</v>
      </c>
      <c r="F4" s="18" t="s">
        <v>17</v>
      </c>
      <c r="G4" s="18" t="s">
        <v>18</v>
      </c>
      <c r="H4" s="18"/>
      <c r="I4" s="21"/>
      <c r="J4" s="21"/>
      <c r="K4" s="22"/>
      <c r="L4" s="22"/>
      <c r="M4" s="22"/>
      <c r="N4" s="6"/>
      <c r="O4" s="23" t="s">
        <v>32</v>
      </c>
      <c r="P4" s="18">
        <v>33</v>
      </c>
      <c r="Q4" s="18" t="s">
        <v>37</v>
      </c>
      <c r="R4" s="18">
        <v>34</v>
      </c>
      <c r="S4" s="18">
        <v>65</v>
      </c>
      <c r="T4" s="18" t="s">
        <v>37</v>
      </c>
      <c r="U4" s="18">
        <v>40</v>
      </c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5</v>
      </c>
      <c r="AE4" s="27">
        <f>COUNTIFS(P4:AA11,"&gt;50",P4:AA11,"&lt;126",B4:M11,"=i")</f>
        <v>2</v>
      </c>
      <c r="AF4" s="28">
        <f>COUNTIFS(P4:AA11,"&gt;50",P4:AA11,"&lt;126",B4:M11,"=s")</f>
        <v>3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17</v>
      </c>
      <c r="C5" s="18" t="s">
        <v>17</v>
      </c>
      <c r="D5" s="18" t="s">
        <v>17</v>
      </c>
      <c r="E5" s="18" t="s">
        <v>18</v>
      </c>
      <c r="F5" s="18" t="s">
        <v>17</v>
      </c>
      <c r="G5" s="18" t="s">
        <v>17</v>
      </c>
      <c r="H5" s="18"/>
      <c r="I5" s="21"/>
      <c r="J5" s="21"/>
      <c r="K5" s="22"/>
      <c r="L5" s="22"/>
      <c r="M5" s="22"/>
      <c r="N5" s="6"/>
      <c r="O5" s="23" t="s">
        <v>34</v>
      </c>
      <c r="P5" s="18">
        <v>45</v>
      </c>
      <c r="Q5" s="18">
        <v>18</v>
      </c>
      <c r="R5" s="18">
        <v>37</v>
      </c>
      <c r="S5" s="18">
        <v>44</v>
      </c>
      <c r="T5" s="18">
        <v>20</v>
      </c>
      <c r="U5" s="18">
        <v>28</v>
      </c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4</v>
      </c>
      <c r="AE5" s="27">
        <f>COUNTIFS(P5:AA12,"&gt;125",P5:AA12,"&lt;251",B5:M12,"=i")</f>
        <v>2</v>
      </c>
      <c r="AF5" s="28">
        <f>COUNTIFS(P5:AA12,"&gt;125",P5:AA12,"&lt;251",B5:M12,"=s")</f>
        <v>2</v>
      </c>
      <c r="AG5" s="30">
        <f>COUNTIFS(P5:AA12,"&gt;125",P5:AA12,"&lt;251",B5:M12,"=g")</f>
        <v>0</v>
      </c>
      <c r="AH5" s="10"/>
    </row>
    <row r="6" spans="1:34">
      <c r="A6" s="16" t="s">
        <v>38</v>
      </c>
      <c r="B6" s="18" t="s">
        <v>18</v>
      </c>
      <c r="C6" s="18" t="s">
        <v>17</v>
      </c>
      <c r="D6" s="18" t="s">
        <v>17</v>
      </c>
      <c r="E6" s="18" t="s">
        <v>17</v>
      </c>
      <c r="F6" s="18" t="s">
        <v>17</v>
      </c>
      <c r="G6" s="18" t="s">
        <v>17</v>
      </c>
      <c r="H6" s="21"/>
      <c r="I6" s="21"/>
      <c r="J6" s="21"/>
      <c r="K6" s="22"/>
      <c r="L6" s="22"/>
      <c r="M6" s="22"/>
      <c r="N6" s="6"/>
      <c r="O6" s="23" t="s">
        <v>38</v>
      </c>
      <c r="P6" s="18">
        <v>42</v>
      </c>
      <c r="Q6" s="18">
        <v>40</v>
      </c>
      <c r="R6" s="18">
        <v>35</v>
      </c>
      <c r="S6" s="18">
        <v>35</v>
      </c>
      <c r="T6" s="18">
        <v>47</v>
      </c>
      <c r="U6" s="18">
        <v>33</v>
      </c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2</v>
      </c>
      <c r="AE6" s="27">
        <f>COUNTIFS(P6:AA12,"&gt;250",P6:AA12,"&lt;501",B6:M12,"=i")</f>
        <v>1</v>
      </c>
      <c r="AF6" s="28">
        <f>COUNTIFS(P6:AA12,"&gt;250",P6:AA12,"&lt;501",B6:M12,"=s")</f>
        <v>0</v>
      </c>
      <c r="AG6" s="30">
        <f>COUNTIFS(P6:AA12,"&gt;250",P6:AA12,"&lt;501",B6:M12,"=g")</f>
        <v>0</v>
      </c>
      <c r="AH6" s="10"/>
    </row>
    <row r="7" spans="1:34">
      <c r="A7" s="16" t="s">
        <v>40</v>
      </c>
      <c r="B7" s="18" t="s">
        <v>17</v>
      </c>
      <c r="C7" s="21" t="s">
        <v>18</v>
      </c>
      <c r="D7" s="18" t="s">
        <v>18</v>
      </c>
      <c r="E7" s="18" t="s">
        <v>17</v>
      </c>
      <c r="F7" s="18" t="s">
        <v>17</v>
      </c>
      <c r="G7" s="21" t="s">
        <v>18</v>
      </c>
      <c r="H7" s="21"/>
      <c r="I7" s="21"/>
      <c r="J7" s="21"/>
      <c r="K7" s="22"/>
      <c r="L7" s="22"/>
      <c r="M7" s="22"/>
      <c r="N7" s="6"/>
      <c r="O7" s="23" t="s">
        <v>40</v>
      </c>
      <c r="P7" s="18">
        <v>32</v>
      </c>
      <c r="Q7" s="18">
        <v>39</v>
      </c>
      <c r="R7" s="18">
        <v>143</v>
      </c>
      <c r="S7" s="18">
        <v>48</v>
      </c>
      <c r="T7" s="18">
        <v>38</v>
      </c>
      <c r="U7" s="18">
        <v>46</v>
      </c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COUNTIFS(P7:AA12,"&gt;500",B7:M12,"=i")</f>
        <v>0</v>
      </c>
      <c r="AF7" s="28">
        <f>COUNTIFS(P7:AA12,"&gt;500",B7:M12,"=s")</f>
        <v>0</v>
      </c>
      <c r="AG7" s="30">
        <f>COUNTIFS(P7:AA12,"&gt;500",B7:M12,"=g")</f>
        <v>0</v>
      </c>
      <c r="AH7" s="10"/>
    </row>
    <row r="8" spans="1:34">
      <c r="A8" s="16" t="s">
        <v>42</v>
      </c>
      <c r="B8" s="18" t="s">
        <v>17</v>
      </c>
      <c r="C8" s="21" t="s">
        <v>17</v>
      </c>
      <c r="D8" s="18" t="s">
        <v>18</v>
      </c>
      <c r="E8" s="18" t="s">
        <v>17</v>
      </c>
      <c r="F8" s="18" t="s">
        <v>18</v>
      </c>
      <c r="G8" s="21" t="s">
        <v>17</v>
      </c>
      <c r="H8" s="21"/>
      <c r="I8" s="21"/>
      <c r="J8" s="21"/>
      <c r="K8" s="22"/>
      <c r="L8" s="22"/>
      <c r="M8" s="22"/>
      <c r="N8" s="6"/>
      <c r="O8" s="23" t="s">
        <v>42</v>
      </c>
      <c r="P8" s="18">
        <v>31</v>
      </c>
      <c r="Q8" s="18">
        <v>30</v>
      </c>
      <c r="R8" s="18" t="s">
        <v>37</v>
      </c>
      <c r="S8" s="18" t="s">
        <v>37</v>
      </c>
      <c r="T8" s="18">
        <v>136</v>
      </c>
      <c r="U8" s="18">
        <v>35</v>
      </c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17</v>
      </c>
      <c r="C9" s="18" t="s">
        <v>18</v>
      </c>
      <c r="D9" s="18" t="s">
        <v>18</v>
      </c>
      <c r="E9" s="18" t="s">
        <v>17</v>
      </c>
      <c r="F9" s="18" t="s">
        <v>17</v>
      </c>
      <c r="G9" s="18" t="s">
        <v>17</v>
      </c>
      <c r="H9" s="21"/>
      <c r="I9" s="21"/>
      <c r="J9" s="21"/>
      <c r="K9" s="22"/>
      <c r="L9" s="22"/>
      <c r="M9" s="22"/>
      <c r="N9" s="6"/>
      <c r="O9" s="23" t="s">
        <v>43</v>
      </c>
      <c r="P9" s="18">
        <v>45</v>
      </c>
      <c r="Q9" s="18" t="s">
        <v>37</v>
      </c>
      <c r="R9" s="18">
        <v>90</v>
      </c>
      <c r="S9" s="18">
        <v>36</v>
      </c>
      <c r="T9" s="18">
        <v>190</v>
      </c>
      <c r="U9" s="18">
        <v>54</v>
      </c>
      <c r="V9" s="24"/>
      <c r="W9" s="24"/>
      <c r="X9" s="24"/>
      <c r="Y9" s="24"/>
      <c r="Z9" s="24"/>
      <c r="AA9" s="24"/>
      <c r="AB9" s="10"/>
      <c r="AC9" s="2" t="s">
        <v>48</v>
      </c>
      <c r="AD9" s="3">
        <f>SUM(AD3:AD7)</f>
        <v>40</v>
      </c>
      <c r="AE9" s="10"/>
      <c r="AF9" s="10"/>
      <c r="AG9" s="10"/>
      <c r="AH9" s="10"/>
    </row>
    <row r="10" spans="1:34">
      <c r="A10" s="16" t="s">
        <v>47</v>
      </c>
      <c r="B10" s="18" t="s">
        <v>17</v>
      </c>
      <c r="C10" s="18" t="s">
        <v>17</v>
      </c>
      <c r="D10" s="18" t="s">
        <v>18</v>
      </c>
      <c r="E10" s="18" t="s">
        <v>18</v>
      </c>
      <c r="F10" s="18" t="s">
        <v>17</v>
      </c>
      <c r="G10" s="18" t="s">
        <v>17</v>
      </c>
      <c r="H10" s="21"/>
      <c r="I10" s="21"/>
      <c r="J10" s="22"/>
      <c r="K10" s="22"/>
      <c r="L10" s="24"/>
      <c r="M10" s="24"/>
      <c r="N10" s="6"/>
      <c r="O10" s="23" t="s">
        <v>47</v>
      </c>
      <c r="P10" s="18">
        <v>169</v>
      </c>
      <c r="Q10" s="18" t="s">
        <v>37</v>
      </c>
      <c r="R10" s="18">
        <v>36</v>
      </c>
      <c r="S10" s="18">
        <v>53</v>
      </c>
      <c r="T10" s="18">
        <v>305</v>
      </c>
      <c r="U10" s="18">
        <v>77</v>
      </c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2"/>
      <c r="H11" s="3"/>
      <c r="I11" s="3"/>
      <c r="J11" s="3"/>
      <c r="K11" s="3"/>
      <c r="L11" s="3"/>
      <c r="M11" s="3"/>
      <c r="N11" s="3"/>
      <c r="O11" s="3"/>
      <c r="P11" s="2"/>
      <c r="Q11" s="2"/>
      <c r="R11" s="2"/>
      <c r="S11" s="2"/>
      <c r="T11" s="2"/>
      <c r="U11" s="2"/>
      <c r="V11" s="3"/>
      <c r="W11" s="3"/>
      <c r="X11" s="3"/>
      <c r="Y11" s="3"/>
      <c r="Z11" s="3"/>
      <c r="AA11" s="3"/>
      <c r="AB11" s="3"/>
      <c r="AC11" s="3"/>
      <c r="AE11" s="3"/>
      <c r="AF11" s="3"/>
      <c r="AG11" s="3"/>
      <c r="AH11" s="3"/>
    </row>
    <row r="12" spans="1:34">
      <c r="A12" s="2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E12" s="3"/>
      <c r="AF12" s="3"/>
      <c r="AG12" s="3"/>
      <c r="AH12" s="3"/>
    </row>
    <row r="13" spans="1:34" ht="15" customHeight="1">
      <c r="A13" s="203" t="s">
        <v>705</v>
      </c>
    </row>
  </sheetData>
  <conditionalFormatting sqref="P3:AA10">
    <cfRule type="cellIs" dxfId="144" priority="1" operator="equal">
      <formula>"u"</formula>
    </cfRule>
  </conditionalFormatting>
  <conditionalFormatting sqref="P3:AA10">
    <cfRule type="cellIs" dxfId="143" priority="2" operator="equal">
      <formula>"N"</formula>
    </cfRule>
  </conditionalFormatting>
  <conditionalFormatting sqref="P3:AA10">
    <cfRule type="cellIs" dxfId="142" priority="3" operator="equal">
      <formula>"?"</formula>
    </cfRule>
  </conditionalFormatting>
  <conditionalFormatting sqref="P3:AA10">
    <cfRule type="cellIs" dxfId="141" priority="4" operator="equal">
      <formula>"X"</formula>
    </cfRule>
  </conditionalFormatting>
  <conditionalFormatting sqref="P3:AA10">
    <cfRule type="cellIs" dxfId="140" priority="5" operator="equal">
      <formula>0</formula>
    </cfRule>
  </conditionalFormatting>
  <conditionalFormatting sqref="B3:M10">
    <cfRule type="endsWith" dxfId="139" priority="6" operator="endsWith" text="?">
      <formula>RIGHT((B3),LEN("?"))=("?")</formula>
    </cfRule>
  </conditionalFormatting>
  <conditionalFormatting sqref="B3:M10 P3:AA10">
    <cfRule type="notContainsBlanks" dxfId="138" priority="7">
      <formula>LEN(TRIM(B3))&gt;0</formula>
    </cfRule>
  </conditionalFormatting>
  <conditionalFormatting sqref="B3:M10">
    <cfRule type="containsBlanks" dxfId="137" priority="8">
      <formula>LEN(TRIM(B3))=0</formula>
    </cfRule>
  </conditionalFormatting>
  <conditionalFormatting sqref="P3">
    <cfRule type="notContainsBlanks" dxfId="136" priority="9">
      <formula>LEN(TRIM(P3))&gt;0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H37"/>
  <sheetViews>
    <sheetView workbookViewId="0">
      <selection activeCell="AC34" sqref="AC34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52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/>
      <c r="C3" s="20"/>
      <c r="D3" s="21"/>
      <c r="E3" s="18" t="s">
        <v>17</v>
      </c>
      <c r="F3" s="18" t="s">
        <v>18</v>
      </c>
      <c r="G3" s="18" t="s">
        <v>17</v>
      </c>
      <c r="H3" s="18" t="s">
        <v>18</v>
      </c>
      <c r="I3" s="21" t="s">
        <v>53</v>
      </c>
      <c r="J3" s="21" t="s">
        <v>17</v>
      </c>
      <c r="K3" s="21" t="s">
        <v>18</v>
      </c>
      <c r="L3" s="22"/>
      <c r="M3" s="22"/>
      <c r="N3" s="6"/>
      <c r="O3" s="23" t="s">
        <v>14</v>
      </c>
      <c r="P3" s="18"/>
      <c r="Q3" s="24"/>
      <c r="R3" s="24"/>
      <c r="S3" s="18">
        <v>206</v>
      </c>
      <c r="T3" s="18">
        <v>240</v>
      </c>
      <c r="U3" s="18">
        <v>50</v>
      </c>
      <c r="V3" s="18">
        <v>49</v>
      </c>
      <c r="W3" s="18">
        <v>169</v>
      </c>
      <c r="X3" s="18">
        <v>35</v>
      </c>
      <c r="Y3" s="24"/>
      <c r="Z3" s="24"/>
      <c r="AA3" s="24"/>
      <c r="AB3" s="10"/>
      <c r="AC3" s="25" t="s">
        <v>21</v>
      </c>
      <c r="AD3" s="26">
        <f>COUNTIFS(P3:AA10,"&gt;0",P3:AA10,"&lt;51")</f>
        <v>19</v>
      </c>
      <c r="AE3" s="27">
        <f>COUNTIFS(P3:AA10,"&gt;0",P3:AA10,"&lt;51",B3:M10,"=i")</f>
        <v>12</v>
      </c>
      <c r="AF3" s="28">
        <f>COUNTIFS(P3:AA10,"&gt;0",P3:AA10,"&lt;51",B3:M10,"=s")</f>
        <v>6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/>
      <c r="C4" s="18"/>
      <c r="D4" s="18"/>
      <c r="E4" s="18" t="s">
        <v>17</v>
      </c>
      <c r="F4" s="18" t="s">
        <v>17</v>
      </c>
      <c r="G4" s="18" t="s">
        <v>17</v>
      </c>
      <c r="H4" s="18" t="s">
        <v>17</v>
      </c>
      <c r="I4" s="21" t="s">
        <v>18</v>
      </c>
      <c r="J4" s="21" t="s">
        <v>18</v>
      </c>
      <c r="K4" s="21"/>
      <c r="L4" s="22"/>
      <c r="M4" s="22"/>
      <c r="N4" s="6"/>
      <c r="O4" s="23" t="s">
        <v>32</v>
      </c>
      <c r="P4" s="18"/>
      <c r="Q4" s="24"/>
      <c r="R4" s="24"/>
      <c r="S4" s="18">
        <v>270</v>
      </c>
      <c r="T4" s="18">
        <v>42</v>
      </c>
      <c r="U4" s="18">
        <v>40</v>
      </c>
      <c r="V4" s="18">
        <v>26</v>
      </c>
      <c r="W4" s="18">
        <v>169</v>
      </c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14</v>
      </c>
      <c r="AE4" s="27">
        <f>COUNTIFS(P4:AA11,"&gt;50",P4:AA11,"&lt;126",B4:M11,"=i")</f>
        <v>7</v>
      </c>
      <c r="AF4" s="28">
        <f>COUNTIFS(P4:AA11,"&gt;50",P4:AA11,"&lt;126",B4:M11,"=s")</f>
        <v>6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/>
      <c r="C5" s="18"/>
      <c r="D5" s="18" t="s">
        <v>18</v>
      </c>
      <c r="E5" s="18" t="s">
        <v>18</v>
      </c>
      <c r="F5" s="18" t="s">
        <v>17</v>
      </c>
      <c r="G5" s="18" t="s">
        <v>18</v>
      </c>
      <c r="H5" s="18" t="s">
        <v>18</v>
      </c>
      <c r="I5" s="21" t="s">
        <v>17</v>
      </c>
      <c r="J5" s="21" t="s">
        <v>35</v>
      </c>
      <c r="K5" s="22"/>
      <c r="L5" s="22"/>
      <c r="M5" s="22"/>
      <c r="N5" s="6"/>
      <c r="O5" s="23" t="s">
        <v>34</v>
      </c>
      <c r="P5" s="18"/>
      <c r="Q5" s="24"/>
      <c r="R5" s="18">
        <v>195</v>
      </c>
      <c r="S5" s="18">
        <v>58</v>
      </c>
      <c r="T5" s="18">
        <v>55</v>
      </c>
      <c r="U5" s="18">
        <v>54</v>
      </c>
      <c r="V5" s="18">
        <v>49</v>
      </c>
      <c r="W5" s="18">
        <v>58</v>
      </c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11</v>
      </c>
      <c r="AE5" s="27">
        <f>COUNTIFS(P5:AA11,"&gt;125",P5:AA11,"&lt;251",B5:M11,"=i")</f>
        <v>2</v>
      </c>
      <c r="AF5" s="28">
        <f>COUNTIFS(P5:AA11,"&gt;125",P5:AA11,"&lt;251",B5:M11,"=s")</f>
        <v>5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/>
      <c r="C6" s="18"/>
      <c r="D6" s="18" t="s">
        <v>17</v>
      </c>
      <c r="E6" s="18" t="s">
        <v>18</v>
      </c>
      <c r="F6" s="18" t="s">
        <v>18</v>
      </c>
      <c r="G6" s="18" t="s">
        <v>35</v>
      </c>
      <c r="H6" s="21" t="s">
        <v>18</v>
      </c>
      <c r="I6" s="21" t="s">
        <v>17</v>
      </c>
      <c r="J6" s="21" t="s">
        <v>35</v>
      </c>
      <c r="K6" s="22"/>
      <c r="L6" s="22"/>
      <c r="M6" s="22"/>
      <c r="N6" s="6"/>
      <c r="O6" s="23" t="s">
        <v>38</v>
      </c>
      <c r="P6" s="24"/>
      <c r="Q6" s="24"/>
      <c r="R6" s="18">
        <v>97</v>
      </c>
      <c r="S6" s="18">
        <v>60</v>
      </c>
      <c r="T6" s="18">
        <v>46</v>
      </c>
      <c r="U6" s="18">
        <v>55</v>
      </c>
      <c r="V6" s="18">
        <v>47</v>
      </c>
      <c r="W6" s="18">
        <v>53</v>
      </c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2</v>
      </c>
      <c r="AE6" s="27">
        <f>COUNTIFS(P6:AA12,"&gt;250",P6:AA12,"&lt;501",B6:M12,"=i")</f>
        <v>0</v>
      </c>
      <c r="AF6" s="28">
        <f>COUNTIFS(P6:AA12,"&gt;250",P6:AA12,"&lt;501",B6:M12,"=s")</f>
        <v>0</v>
      </c>
      <c r="AG6" s="30">
        <f>COUNTIFS(P6:AA12,"&gt;250",P6:AA12,"&lt;501",B6:M12,"=g")</f>
        <v>0</v>
      </c>
      <c r="AH6" s="10"/>
    </row>
    <row r="7" spans="1:34">
      <c r="A7" s="16" t="s">
        <v>40</v>
      </c>
      <c r="B7" s="18"/>
      <c r="C7" s="21"/>
      <c r="D7" s="18" t="s">
        <v>18</v>
      </c>
      <c r="E7" s="18" t="s">
        <v>18</v>
      </c>
      <c r="F7" s="18" t="s">
        <v>17</v>
      </c>
      <c r="G7" s="21" t="s">
        <v>17</v>
      </c>
      <c r="H7" s="21" t="s">
        <v>18</v>
      </c>
      <c r="I7" s="21" t="s">
        <v>17</v>
      </c>
      <c r="J7" s="21" t="s">
        <v>18</v>
      </c>
      <c r="K7" s="22"/>
      <c r="L7" s="22"/>
      <c r="M7" s="22"/>
      <c r="N7" s="6"/>
      <c r="O7" s="23" t="s">
        <v>40</v>
      </c>
      <c r="P7" s="24"/>
      <c r="Q7" s="24"/>
      <c r="R7" s="18">
        <v>127</v>
      </c>
      <c r="S7" s="18">
        <v>211</v>
      </c>
      <c r="T7" s="18">
        <v>46</v>
      </c>
      <c r="U7" s="18">
        <v>47</v>
      </c>
      <c r="V7" s="18">
        <v>60</v>
      </c>
      <c r="W7" s="18">
        <v>72</v>
      </c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COUNTIFS(P7:AA13,"&gt;500",B7:M13,"=i")</f>
        <v>0</v>
      </c>
      <c r="AF7" s="28">
        <f>COUNTIFS(P7:AA13,"&gt;500",B7:M13,"=s")</f>
        <v>0</v>
      </c>
      <c r="AG7" s="30">
        <f>COUNTIFS(P7:AA13,"&gt;500",B7:M13,"=g")</f>
        <v>0</v>
      </c>
      <c r="AH7" s="10"/>
    </row>
    <row r="8" spans="1:34">
      <c r="A8" s="16" t="s">
        <v>42</v>
      </c>
      <c r="B8" s="18"/>
      <c r="C8" s="21"/>
      <c r="D8" s="18" t="s">
        <v>17</v>
      </c>
      <c r="E8" s="18" t="s">
        <v>18</v>
      </c>
      <c r="F8" s="18" t="s">
        <v>18</v>
      </c>
      <c r="G8" s="21" t="s">
        <v>17</v>
      </c>
      <c r="H8" s="21" t="s">
        <v>17</v>
      </c>
      <c r="I8" s="21" t="s">
        <v>17</v>
      </c>
      <c r="J8" s="21" t="s">
        <v>53</v>
      </c>
      <c r="K8" s="22"/>
      <c r="L8" s="22"/>
      <c r="M8" s="22"/>
      <c r="N8" s="6"/>
      <c r="O8" s="23" t="s">
        <v>42</v>
      </c>
      <c r="P8" s="24"/>
      <c r="Q8" s="24"/>
      <c r="R8" s="18">
        <v>40</v>
      </c>
      <c r="S8" s="18" t="s">
        <v>37</v>
      </c>
      <c r="T8" s="18">
        <v>41</v>
      </c>
      <c r="U8" s="18">
        <v>51</v>
      </c>
      <c r="V8" s="18">
        <v>40</v>
      </c>
      <c r="W8" s="18">
        <v>35</v>
      </c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/>
      <c r="C9" s="18"/>
      <c r="D9" s="18" t="s">
        <v>17</v>
      </c>
      <c r="E9" s="18" t="s">
        <v>17</v>
      </c>
      <c r="F9" s="18" t="s">
        <v>18</v>
      </c>
      <c r="G9" s="18" t="s">
        <v>17</v>
      </c>
      <c r="H9" s="21" t="s">
        <v>17</v>
      </c>
      <c r="I9" s="21" t="s">
        <v>18</v>
      </c>
      <c r="J9" s="21" t="s">
        <v>53</v>
      </c>
      <c r="K9" s="22"/>
      <c r="L9" s="22"/>
      <c r="M9" s="22"/>
      <c r="N9" s="6"/>
      <c r="O9" s="23" t="s">
        <v>43</v>
      </c>
      <c r="P9" s="24"/>
      <c r="Q9" s="24"/>
      <c r="R9" s="18">
        <v>247</v>
      </c>
      <c r="S9" s="18" t="s">
        <v>37</v>
      </c>
      <c r="T9" s="18">
        <v>219</v>
      </c>
      <c r="U9" s="18">
        <v>41</v>
      </c>
      <c r="V9" s="18">
        <v>55</v>
      </c>
      <c r="W9" s="18">
        <v>45</v>
      </c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/>
      <c r="C10" s="18"/>
      <c r="D10" s="18" t="s">
        <v>18</v>
      </c>
      <c r="E10" s="18" t="s">
        <v>17</v>
      </c>
      <c r="F10" s="18" t="s">
        <v>56</v>
      </c>
      <c r="G10" s="18" t="s">
        <v>18</v>
      </c>
      <c r="H10" s="21" t="s">
        <v>18</v>
      </c>
      <c r="I10" s="21" t="s">
        <v>17</v>
      </c>
      <c r="J10" s="21" t="s">
        <v>17</v>
      </c>
      <c r="K10" s="22"/>
      <c r="L10" s="24"/>
      <c r="M10" s="18" t="s">
        <v>57</v>
      </c>
      <c r="N10" s="6"/>
      <c r="O10" s="23" t="s">
        <v>47</v>
      </c>
      <c r="P10" s="24"/>
      <c r="Q10" s="24"/>
      <c r="R10" s="18">
        <v>228</v>
      </c>
      <c r="S10" s="18">
        <v>206</v>
      </c>
      <c r="T10" s="18">
        <v>280</v>
      </c>
      <c r="U10" s="18">
        <v>76</v>
      </c>
      <c r="V10" s="18">
        <v>100</v>
      </c>
      <c r="W10" s="18">
        <v>40</v>
      </c>
      <c r="X10" s="24"/>
      <c r="Y10" s="24"/>
      <c r="Z10" s="24"/>
      <c r="AA10" s="18">
        <v>35</v>
      </c>
      <c r="AB10" s="10"/>
      <c r="AC10" s="10"/>
      <c r="AD10" s="10"/>
      <c r="AE10" s="10"/>
      <c r="AF10" s="10"/>
      <c r="AG10" s="10"/>
      <c r="AH10" s="10"/>
    </row>
    <row r="11" spans="1:34">
      <c r="R11" s="29"/>
      <c r="S11" s="29"/>
      <c r="T11" s="29"/>
      <c r="U11" s="29"/>
      <c r="V11" s="29"/>
      <c r="W11" s="29"/>
      <c r="AA11" s="29"/>
      <c r="AH11" s="3"/>
    </row>
    <row r="12" spans="1:34">
      <c r="Q12" s="29"/>
    </row>
    <row r="13" spans="1:34">
      <c r="A13" s="2" t="s">
        <v>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 t="s"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>
      <c r="A14" s="4" t="s">
        <v>3</v>
      </c>
      <c r="B14" s="5">
        <v>1</v>
      </c>
      <c r="C14" s="5">
        <v>2</v>
      </c>
      <c r="D14" s="5">
        <v>3</v>
      </c>
      <c r="E14" s="5">
        <v>4</v>
      </c>
      <c r="F14" s="5">
        <v>5</v>
      </c>
      <c r="G14" s="5">
        <v>6</v>
      </c>
      <c r="H14" s="5">
        <v>7</v>
      </c>
      <c r="I14" s="5">
        <v>8</v>
      </c>
      <c r="J14" s="5">
        <v>9</v>
      </c>
      <c r="K14" s="5">
        <v>10</v>
      </c>
      <c r="L14" s="5">
        <v>11</v>
      </c>
      <c r="M14" s="5">
        <v>12</v>
      </c>
      <c r="N14" s="6"/>
      <c r="O14" s="7" t="s">
        <v>8</v>
      </c>
      <c r="P14" s="8">
        <v>1</v>
      </c>
      <c r="Q14" s="8">
        <v>2</v>
      </c>
      <c r="R14" s="8">
        <v>3</v>
      </c>
      <c r="S14" s="8">
        <v>4</v>
      </c>
      <c r="T14" s="8">
        <v>5</v>
      </c>
      <c r="U14" s="8">
        <v>6</v>
      </c>
      <c r="V14" s="8">
        <v>7</v>
      </c>
      <c r="W14" s="8">
        <v>8</v>
      </c>
      <c r="X14" s="8">
        <v>9</v>
      </c>
      <c r="Y14" s="8">
        <v>10</v>
      </c>
      <c r="Z14" s="8">
        <v>11</v>
      </c>
      <c r="AA14" s="8">
        <v>12</v>
      </c>
      <c r="AB14" s="10"/>
      <c r="AC14" s="11" t="s">
        <v>9</v>
      </c>
      <c r="AD14" s="12" t="s">
        <v>10</v>
      </c>
      <c r="AE14" s="13" t="s">
        <v>11</v>
      </c>
      <c r="AF14" s="13" t="s">
        <v>12</v>
      </c>
      <c r="AG14" s="13" t="s">
        <v>13</v>
      </c>
      <c r="AH14" s="14"/>
    </row>
    <row r="15" spans="1:34">
      <c r="A15" s="16" t="s">
        <v>14</v>
      </c>
      <c r="B15" s="18" t="s">
        <v>17</v>
      </c>
      <c r="C15" s="20" t="s">
        <v>17</v>
      </c>
      <c r="D15" s="21"/>
      <c r="E15" s="18"/>
      <c r="F15" s="18"/>
      <c r="G15" s="18"/>
      <c r="H15" s="18"/>
      <c r="I15" s="21"/>
      <c r="J15" s="22"/>
      <c r="K15" s="22"/>
      <c r="L15" s="22"/>
      <c r="M15" s="22"/>
      <c r="N15" s="6"/>
      <c r="O15" s="23" t="s">
        <v>14</v>
      </c>
      <c r="P15" s="18">
        <v>38</v>
      </c>
      <c r="Q15" s="18">
        <v>52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0"/>
      <c r="AC15" s="25" t="s">
        <v>21</v>
      </c>
      <c r="AD15" s="26">
        <f>COUNTIFS(P15:AA22,"&gt;0",P15:AA22,"&lt;51")</f>
        <v>3</v>
      </c>
      <c r="AE15" s="27">
        <f>COUNTIFS(P15:AA22,"&gt;0",P15:AA22,"&lt;51",B15:M22,"=i")</f>
        <v>3</v>
      </c>
      <c r="AF15" s="28">
        <f>COUNTIFS(P15:AA22,"&gt;0",P15:AA22,"&lt;51",B15:M22,"=s")</f>
        <v>0</v>
      </c>
      <c r="AG15" s="30">
        <f>COUNTIFS(P15:AA22,"&gt;0",P15:AA22,"&lt;51",B15:M22,"=g")</f>
        <v>0</v>
      </c>
      <c r="AH15" s="10"/>
    </row>
    <row r="16" spans="1:34">
      <c r="A16" s="16" t="s">
        <v>32</v>
      </c>
      <c r="B16" s="18" t="s">
        <v>17</v>
      </c>
      <c r="C16" s="18" t="s">
        <v>17</v>
      </c>
      <c r="D16" s="18"/>
      <c r="E16" s="18"/>
      <c r="F16" s="18"/>
      <c r="G16" s="24"/>
      <c r="H16" s="18"/>
      <c r="I16" s="21"/>
      <c r="J16" s="21"/>
      <c r="K16" s="22"/>
      <c r="L16" s="22"/>
      <c r="M16" s="22"/>
      <c r="N16" s="6"/>
      <c r="O16" s="23" t="s">
        <v>32</v>
      </c>
      <c r="P16" s="18">
        <v>59</v>
      </c>
      <c r="Q16" s="18">
        <v>72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10"/>
      <c r="AC16" s="25" t="s">
        <v>33</v>
      </c>
      <c r="AD16" s="31">
        <f>COUNTIFS(P15:AA22,"&gt;50",P15:AA22,"&lt;126")</f>
        <v>7</v>
      </c>
      <c r="AE16" s="27">
        <f>COUNTIFS(P16:AA23,"&gt;50",P16:AA23,"&lt;126",B16:M23,"=i")</f>
        <v>4</v>
      </c>
      <c r="AF16" s="28">
        <f>COUNTIFS(P16:AA23,"&gt;50",P16:AA23,"&lt;126",B16:M23,"=s")</f>
        <v>1</v>
      </c>
      <c r="AG16" s="30">
        <f>COUNTIFS(P16:AA23,"&gt;50",P16:AA23,"&lt;126",B16:M23,"=g")</f>
        <v>0</v>
      </c>
      <c r="AH16" s="10"/>
    </row>
    <row r="17" spans="1:34">
      <c r="A17" s="16" t="s">
        <v>34</v>
      </c>
      <c r="B17" s="18" t="s">
        <v>17</v>
      </c>
      <c r="C17" s="18" t="s">
        <v>17</v>
      </c>
      <c r="D17" s="18"/>
      <c r="E17" s="18"/>
      <c r="F17" s="18"/>
      <c r="G17" s="18"/>
      <c r="H17" s="18"/>
      <c r="I17" s="21"/>
      <c r="J17" s="21"/>
      <c r="K17" s="22"/>
      <c r="L17" s="22"/>
      <c r="M17" s="22"/>
      <c r="N17" s="6"/>
      <c r="O17" s="23" t="s">
        <v>34</v>
      </c>
      <c r="P17" s="18">
        <v>45</v>
      </c>
      <c r="Q17" s="18" t="s">
        <v>37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10"/>
      <c r="AC17" s="25" t="s">
        <v>36</v>
      </c>
      <c r="AD17" s="31">
        <f>COUNTIFS(P15:AA22,"&gt;125",P15:AA22,"&lt;251")</f>
        <v>1</v>
      </c>
      <c r="AE17" s="27">
        <f>COUNTIFS(P17:AA24,"&gt;125",P17:AA24,"&lt;251",B17:M24,"=i")</f>
        <v>0</v>
      </c>
      <c r="AF17" s="28">
        <f>COUNTIFS(P17:AA24,"&gt;125",P17:AA24,"&lt;251",B17:M24,"=s")</f>
        <v>0</v>
      </c>
      <c r="AG17" s="30">
        <f>COUNTIFS(P17:AA24,"&gt;125",P17:AA24,"&lt;251",B17:M24,"=g")</f>
        <v>0</v>
      </c>
      <c r="AH17" s="10"/>
    </row>
    <row r="18" spans="1:34">
      <c r="A18" s="16" t="s">
        <v>38</v>
      </c>
      <c r="B18" s="18" t="s">
        <v>18</v>
      </c>
      <c r="C18" s="18" t="s">
        <v>17</v>
      </c>
      <c r="D18" s="18"/>
      <c r="E18" s="18"/>
      <c r="F18" s="18"/>
      <c r="G18" s="18"/>
      <c r="H18" s="21"/>
      <c r="I18" s="21"/>
      <c r="J18" s="21"/>
      <c r="K18" s="22"/>
      <c r="L18" s="22"/>
      <c r="M18" s="22"/>
      <c r="N18" s="6"/>
      <c r="O18" s="23" t="s">
        <v>38</v>
      </c>
      <c r="P18" s="18">
        <v>84</v>
      </c>
      <c r="Q18" s="18">
        <v>25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10"/>
      <c r="AC18" s="25" t="s">
        <v>39</v>
      </c>
      <c r="AD18" s="31">
        <f>COUNTIFS(P15:AA22,"&gt;250",P15:AA22,"&lt;501")</f>
        <v>1</v>
      </c>
      <c r="AE18" s="27">
        <f>COUNTIFS(P18:AA25,"&gt;250",P18:AA25,"&lt;501",B18:M25,"=i")</f>
        <v>1</v>
      </c>
      <c r="AF18" s="28">
        <f>COUNTIFS(P18:AA25,"&gt;250",P18:AA25,"&lt;501",B18:M25,"=s")</f>
        <v>0</v>
      </c>
      <c r="AG18" s="30">
        <f>COUNTIFS(P18:AA25,"&gt;250",P18:AA25,"&lt;501",B18:M25,"=g")</f>
        <v>0</v>
      </c>
      <c r="AH18" s="10"/>
    </row>
    <row r="19" spans="1:34">
      <c r="A19" s="16" t="s">
        <v>40</v>
      </c>
      <c r="B19" s="18" t="s">
        <v>18</v>
      </c>
      <c r="C19" s="21" t="s">
        <v>17</v>
      </c>
      <c r="D19" s="18"/>
      <c r="E19" s="18"/>
      <c r="F19" s="18"/>
      <c r="G19" s="21"/>
      <c r="H19" s="21"/>
      <c r="I19" s="21"/>
      <c r="J19" s="21"/>
      <c r="K19" s="22"/>
      <c r="L19" s="22"/>
      <c r="M19" s="22"/>
      <c r="N19" s="6"/>
      <c r="O19" s="23" t="s">
        <v>40</v>
      </c>
      <c r="P19" s="18" t="s">
        <v>37</v>
      </c>
      <c r="Q19" s="18">
        <v>461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10"/>
      <c r="AC19" s="25" t="s">
        <v>41</v>
      </c>
      <c r="AD19" s="31">
        <f>COUNTIF(P15:AA22,"&gt;500")</f>
        <v>0</v>
      </c>
      <c r="AE19" s="27">
        <f>COUNTIFS(P19:AA26,"&gt;500",B19:M26,"=i")</f>
        <v>0</v>
      </c>
      <c r="AF19" s="28">
        <f>COUNTIFS(P19:AA26,"&gt;500",B19:M26,"=s")</f>
        <v>0</v>
      </c>
      <c r="AG19" s="30">
        <f>COUNTIFS(P19:AA26,"&gt;500",B19:M26,"=g")</f>
        <v>0</v>
      </c>
      <c r="AH19" s="10"/>
    </row>
    <row r="20" spans="1:34">
      <c r="A20" s="16" t="s">
        <v>42</v>
      </c>
      <c r="B20" s="18" t="s">
        <v>56</v>
      </c>
      <c r="C20" s="21" t="s">
        <v>17</v>
      </c>
      <c r="D20" s="18"/>
      <c r="E20" s="18"/>
      <c r="F20" s="18"/>
      <c r="G20" s="21"/>
      <c r="H20" s="21"/>
      <c r="I20" s="21"/>
      <c r="J20" s="21"/>
      <c r="K20" s="22"/>
      <c r="L20" s="22"/>
      <c r="M20" s="21" t="s">
        <v>58</v>
      </c>
      <c r="N20" s="6"/>
      <c r="O20" s="23" t="s">
        <v>42</v>
      </c>
      <c r="P20" s="18">
        <v>106</v>
      </c>
      <c r="Q20" s="18" t="s">
        <v>37</v>
      </c>
      <c r="R20" s="24"/>
      <c r="S20" s="24"/>
      <c r="T20" s="24"/>
      <c r="U20" s="24"/>
      <c r="V20" s="24"/>
      <c r="W20" s="24"/>
      <c r="X20" s="24"/>
      <c r="Y20" s="24"/>
      <c r="Z20" s="24"/>
      <c r="AA20" s="18">
        <v>156</v>
      </c>
      <c r="AB20" s="10"/>
      <c r="AC20" s="10"/>
      <c r="AD20" s="10"/>
      <c r="AE20" s="10"/>
      <c r="AF20" s="10"/>
      <c r="AG20" s="10"/>
      <c r="AH20" s="10"/>
    </row>
    <row r="21" spans="1:34">
      <c r="A21" s="16" t="s">
        <v>43</v>
      </c>
      <c r="B21" s="18" t="s">
        <v>17</v>
      </c>
      <c r="C21" s="18" t="s">
        <v>17</v>
      </c>
      <c r="D21" s="18"/>
      <c r="E21" s="18"/>
      <c r="F21" s="18"/>
      <c r="G21" s="18"/>
      <c r="H21" s="21"/>
      <c r="I21" s="21"/>
      <c r="J21" s="21"/>
      <c r="K21" s="22"/>
      <c r="L21" s="22"/>
      <c r="M21" s="22"/>
      <c r="N21" s="6"/>
      <c r="O21" s="23" t="s">
        <v>43</v>
      </c>
      <c r="P21" s="18">
        <v>80</v>
      </c>
      <c r="Q21" s="18">
        <v>97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0"/>
      <c r="AC21" s="10"/>
      <c r="AD21" s="10"/>
      <c r="AE21" s="10"/>
      <c r="AF21" s="10"/>
      <c r="AG21" s="10"/>
      <c r="AH21" s="10"/>
    </row>
    <row r="22" spans="1:34">
      <c r="A22" s="16" t="s">
        <v>47</v>
      </c>
      <c r="B22" s="18" t="s">
        <v>17</v>
      </c>
      <c r="C22" s="18"/>
      <c r="D22" s="18"/>
      <c r="E22" s="18"/>
      <c r="F22" s="18"/>
      <c r="G22" s="18"/>
      <c r="H22" s="21"/>
      <c r="I22" s="21"/>
      <c r="J22" s="22"/>
      <c r="K22" s="22"/>
      <c r="L22" s="24"/>
      <c r="M22" s="24"/>
      <c r="N22" s="6"/>
      <c r="O22" s="23" t="s">
        <v>47</v>
      </c>
      <c r="P22" s="18" t="s">
        <v>37</v>
      </c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10"/>
      <c r="AC22" s="10"/>
      <c r="AD22" s="10"/>
      <c r="AE22" s="10"/>
      <c r="AF22" s="10"/>
      <c r="AG22" s="10"/>
      <c r="AH22" s="10"/>
    </row>
    <row r="23" spans="1:34">
      <c r="P23" s="29"/>
    </row>
    <row r="24" spans="1:34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3"/>
      <c r="Q24" s="2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2" t="s">
        <v>60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 t="s">
        <v>60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4" t="s">
        <v>3</v>
      </c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M26" s="5">
        <v>12</v>
      </c>
      <c r="N26" s="6"/>
      <c r="O26" s="7" t="s">
        <v>8</v>
      </c>
      <c r="P26" s="8">
        <v>1</v>
      </c>
      <c r="Q26" s="8">
        <v>2</v>
      </c>
      <c r="R26" s="8">
        <v>3</v>
      </c>
      <c r="S26" s="8">
        <v>4</v>
      </c>
      <c r="T26" s="8">
        <v>5</v>
      </c>
      <c r="U26" s="8">
        <v>6</v>
      </c>
      <c r="V26" s="8">
        <v>7</v>
      </c>
      <c r="W26" s="8">
        <v>8</v>
      </c>
      <c r="X26" s="8">
        <v>9</v>
      </c>
      <c r="Y26" s="8">
        <v>10</v>
      </c>
      <c r="Z26" s="8">
        <v>11</v>
      </c>
      <c r="AA26" s="8">
        <v>12</v>
      </c>
      <c r="AB26" s="10"/>
      <c r="AC26" s="11" t="s">
        <v>9</v>
      </c>
      <c r="AD26" s="12" t="s">
        <v>10</v>
      </c>
      <c r="AE26" s="13" t="s">
        <v>11</v>
      </c>
      <c r="AF26" s="13" t="s">
        <v>12</v>
      </c>
      <c r="AG26" s="13" t="s">
        <v>13</v>
      </c>
      <c r="AH26" s="14"/>
    </row>
    <row r="27" spans="1:34">
      <c r="A27" s="16" t="s">
        <v>14</v>
      </c>
      <c r="B27" s="18" t="s">
        <v>18</v>
      </c>
      <c r="C27" s="20" t="s">
        <v>17</v>
      </c>
      <c r="D27" s="21" t="s">
        <v>17</v>
      </c>
      <c r="E27" s="18" t="s">
        <v>17</v>
      </c>
      <c r="F27" s="18" t="s">
        <v>17</v>
      </c>
      <c r="G27" s="18"/>
      <c r="H27" s="18"/>
      <c r="I27" s="21"/>
      <c r="J27" s="22"/>
      <c r="K27" s="22"/>
      <c r="L27" s="22"/>
      <c r="M27" s="22"/>
      <c r="N27" s="6"/>
      <c r="O27" s="23" t="s">
        <v>14</v>
      </c>
      <c r="P27" s="18">
        <v>75</v>
      </c>
      <c r="Q27" s="18">
        <v>37</v>
      </c>
      <c r="R27" s="18">
        <v>20</v>
      </c>
      <c r="S27" s="18" t="s">
        <v>37</v>
      </c>
      <c r="T27" s="18">
        <v>57</v>
      </c>
      <c r="U27" s="24"/>
      <c r="V27" s="24"/>
      <c r="W27" s="24"/>
      <c r="X27" s="24"/>
      <c r="Y27" s="24"/>
      <c r="Z27" s="24"/>
      <c r="AA27" s="24"/>
      <c r="AB27" s="10"/>
      <c r="AC27" s="25" t="s">
        <v>21</v>
      </c>
      <c r="AD27" s="26">
        <f>COUNTIFS(P27:AA34,"&gt;0",P27:AA34,"&lt;51")</f>
        <v>8</v>
      </c>
      <c r="AE27" s="27">
        <f>COUNTIFS(P27:AA34,"&gt;0",P27:AA34,"&lt;51",B27:M34,"=i")</f>
        <v>8</v>
      </c>
      <c r="AF27" s="28">
        <f>COUNTIFS(P27:AA34,"&gt;0",P27:AA34,"&lt;51",B27:M34,"=s")</f>
        <v>0</v>
      </c>
      <c r="AG27" s="30">
        <f>COUNTIFS(P27:AA34,"&gt;0",P27:AA34,"&lt;51",B27:M34,"=g")</f>
        <v>0</v>
      </c>
      <c r="AH27" s="10"/>
    </row>
    <row r="28" spans="1:34">
      <c r="A28" s="16" t="s">
        <v>32</v>
      </c>
      <c r="B28" s="18" t="s">
        <v>17</v>
      </c>
      <c r="C28" s="18" t="s">
        <v>17</v>
      </c>
      <c r="D28" s="18" t="s">
        <v>17</v>
      </c>
      <c r="E28" s="18" t="s">
        <v>17</v>
      </c>
      <c r="F28" s="18" t="s">
        <v>17</v>
      </c>
      <c r="G28" s="24"/>
      <c r="H28" s="18"/>
      <c r="I28" s="21"/>
      <c r="J28" s="21"/>
      <c r="K28" s="22"/>
      <c r="L28" s="22"/>
      <c r="M28" s="22"/>
      <c r="N28" s="6"/>
      <c r="O28" s="23" t="s">
        <v>32</v>
      </c>
      <c r="P28" s="18">
        <v>101</v>
      </c>
      <c r="Q28" s="18" t="s">
        <v>37</v>
      </c>
      <c r="R28" s="18">
        <v>47</v>
      </c>
      <c r="S28" s="18">
        <v>122</v>
      </c>
      <c r="T28" s="18" t="s">
        <v>37</v>
      </c>
      <c r="U28" s="24"/>
      <c r="V28" s="24"/>
      <c r="W28" s="24"/>
      <c r="X28" s="24"/>
      <c r="Y28" s="24"/>
      <c r="Z28" s="24"/>
      <c r="AA28" s="24"/>
      <c r="AB28" s="10"/>
      <c r="AC28" s="25" t="s">
        <v>33</v>
      </c>
      <c r="AD28" s="31">
        <f>COUNTIFS(P27:AA34,"&gt;50",P27:AA34,"&lt;126")</f>
        <v>17</v>
      </c>
      <c r="AE28" s="27">
        <f>COUNTIFS(P28:AA35,"&gt;50",P28:AA35,"&lt;126",B28:M35,"=i")</f>
        <v>12</v>
      </c>
      <c r="AF28" s="28">
        <f>COUNTIFS(P28:AA35,"&gt;50",P28:AA35,"&lt;126",B28:M35,"=s")</f>
        <v>3</v>
      </c>
      <c r="AG28" s="30">
        <f>COUNTIFS(P28:AA35,"&gt;50",P28:AA35,"&lt;126",B28:M35,"=g")</f>
        <v>0</v>
      </c>
      <c r="AH28" s="10"/>
    </row>
    <row r="29" spans="1:34">
      <c r="A29" s="16" t="s">
        <v>34</v>
      </c>
      <c r="B29" s="18" t="s">
        <v>17</v>
      </c>
      <c r="C29" s="18" t="s">
        <v>17</v>
      </c>
      <c r="D29" s="18" t="s">
        <v>17</v>
      </c>
      <c r="E29" s="18" t="s">
        <v>17</v>
      </c>
      <c r="F29" s="18" t="s">
        <v>17</v>
      </c>
      <c r="G29" s="18"/>
      <c r="H29" s="18"/>
      <c r="I29" s="21"/>
      <c r="J29" s="21"/>
      <c r="K29" s="22"/>
      <c r="L29" s="22"/>
      <c r="M29" s="22"/>
      <c r="N29" s="6"/>
      <c r="O29" s="23" t="s">
        <v>34</v>
      </c>
      <c r="P29" s="18">
        <v>141</v>
      </c>
      <c r="Q29" s="18">
        <v>59</v>
      </c>
      <c r="R29" s="18" t="s">
        <v>37</v>
      </c>
      <c r="S29" s="18">
        <v>116</v>
      </c>
      <c r="T29" s="18" t="s">
        <v>37</v>
      </c>
      <c r="U29" s="24"/>
      <c r="V29" s="24"/>
      <c r="W29" s="24"/>
      <c r="X29" s="24"/>
      <c r="Y29" s="24"/>
      <c r="Z29" s="24"/>
      <c r="AA29" s="24"/>
      <c r="AB29" s="10"/>
      <c r="AC29" s="25" t="s">
        <v>36</v>
      </c>
      <c r="AD29" s="31">
        <f>COUNTIFS(P27:AA34,"&gt;125",P27:AA34,"&lt;251")</f>
        <v>1</v>
      </c>
      <c r="AE29" s="27">
        <f>COUNTIFS(P29:AA36,"&gt;125",P29:AA36,"&lt;251",B29:M36,"=i")</f>
        <v>1</v>
      </c>
      <c r="AF29" s="28">
        <f>COUNTIFS(P29:AA36,"&gt;125",P29:AA36,"&lt;251",B29:M36,"=s")</f>
        <v>0</v>
      </c>
      <c r="AG29" s="30">
        <f>COUNTIFS(P29:AA36,"&gt;125",P29:AA36,"&lt;251",B29:M36,"=g")</f>
        <v>0</v>
      </c>
      <c r="AH29" s="10"/>
    </row>
    <row r="30" spans="1:34">
      <c r="A30" s="16" t="s">
        <v>38</v>
      </c>
      <c r="B30" s="18" t="s">
        <v>18</v>
      </c>
      <c r="C30" s="18" t="s">
        <v>18</v>
      </c>
      <c r="D30" s="18" t="s">
        <v>17</v>
      </c>
      <c r="E30" s="18" t="s">
        <v>17</v>
      </c>
      <c r="F30" s="18" t="s">
        <v>17</v>
      </c>
      <c r="G30" s="18"/>
      <c r="H30" s="21"/>
      <c r="I30" s="21"/>
      <c r="J30" s="21"/>
      <c r="K30" s="22"/>
      <c r="L30" s="22"/>
      <c r="M30" s="22"/>
      <c r="N30" s="6"/>
      <c r="O30" s="23" t="s">
        <v>38</v>
      </c>
      <c r="P30" s="18">
        <v>103</v>
      </c>
      <c r="Q30" s="18">
        <v>103</v>
      </c>
      <c r="R30" s="18" t="s">
        <v>37</v>
      </c>
      <c r="S30" s="18">
        <v>106</v>
      </c>
      <c r="T30" s="18" t="s">
        <v>37</v>
      </c>
      <c r="U30" s="24"/>
      <c r="V30" s="24"/>
      <c r="W30" s="24"/>
      <c r="X30" s="24"/>
      <c r="Y30" s="24"/>
      <c r="Z30" s="24"/>
      <c r="AA30" s="24"/>
      <c r="AB30" s="10"/>
      <c r="AC30" s="25" t="s">
        <v>39</v>
      </c>
      <c r="AD30" s="31">
        <f>COUNTIFS(P27:AA34,"&gt;250",P27:AA34,"&lt;501")</f>
        <v>0</v>
      </c>
      <c r="AE30" s="27">
        <f>COUNTIFS(P30:AA36,"&gt;250",P30:AA36,"&lt;501",B30:M36,"=i")</f>
        <v>0</v>
      </c>
      <c r="AF30" s="28">
        <f>COUNTIFS(P30:AA36,"&gt;250",P30:AA36,"&lt;501",B30:M36,"=s")</f>
        <v>0</v>
      </c>
      <c r="AG30" s="30">
        <f>COUNTIFS(P30:AA36,"&gt;250",P30:AA36,"&lt;501",B30:M36,"=g")</f>
        <v>0</v>
      </c>
      <c r="AH30" s="10"/>
    </row>
    <row r="31" spans="1:34">
      <c r="A31" s="16" t="s">
        <v>40</v>
      </c>
      <c r="B31" s="18" t="s">
        <v>17</v>
      </c>
      <c r="C31" s="21" t="s">
        <v>17</v>
      </c>
      <c r="D31" s="18" t="s">
        <v>17</v>
      </c>
      <c r="E31" s="18" t="s">
        <v>17</v>
      </c>
      <c r="F31" s="18" t="s">
        <v>17</v>
      </c>
      <c r="G31" s="21"/>
      <c r="H31" s="21"/>
      <c r="I31" s="21"/>
      <c r="J31" s="21"/>
      <c r="K31" s="22"/>
      <c r="L31" s="22"/>
      <c r="M31" s="22"/>
      <c r="N31" s="6"/>
      <c r="O31" s="23" t="s">
        <v>40</v>
      </c>
      <c r="P31" s="18">
        <v>90</v>
      </c>
      <c r="Q31" s="18">
        <v>43</v>
      </c>
      <c r="R31" s="18" t="s">
        <v>37</v>
      </c>
      <c r="S31" s="18">
        <v>100</v>
      </c>
      <c r="T31" s="18" t="s">
        <v>37</v>
      </c>
      <c r="U31" s="24"/>
      <c r="V31" s="24"/>
      <c r="W31" s="24"/>
      <c r="X31" s="24"/>
      <c r="Y31" s="24"/>
      <c r="Z31" s="24"/>
      <c r="AA31" s="24"/>
      <c r="AB31" s="10"/>
      <c r="AC31" s="25" t="s">
        <v>41</v>
      </c>
      <c r="AD31" s="31">
        <f>COUNTIF(P27:AA34,"&gt;500")</f>
        <v>0</v>
      </c>
      <c r="AE31" s="27">
        <f>COUNTIFS(P31:AA36,"&gt;500",B31:M36,"=i")</f>
        <v>0</v>
      </c>
      <c r="AF31" s="28">
        <f>COUNTIFS(P31:AA36,"&gt;500",B31:M36,"=s")</f>
        <v>0</v>
      </c>
      <c r="AG31" s="30">
        <f>COUNTIFS(P31:AA36,"&gt;500",B31:M36,"=g")</f>
        <v>0</v>
      </c>
      <c r="AH31" s="10"/>
    </row>
    <row r="32" spans="1:34">
      <c r="A32" s="16" t="s">
        <v>42</v>
      </c>
      <c r="B32" s="18" t="s">
        <v>17</v>
      </c>
      <c r="C32" s="21" t="s">
        <v>17</v>
      </c>
      <c r="D32" s="18" t="s">
        <v>17</v>
      </c>
      <c r="E32" s="18" t="s">
        <v>17</v>
      </c>
      <c r="F32" s="18" t="s">
        <v>17</v>
      </c>
      <c r="G32" s="21"/>
      <c r="H32" s="21"/>
      <c r="I32" s="21"/>
      <c r="J32" s="21"/>
      <c r="K32" s="22"/>
      <c r="L32" s="22"/>
      <c r="M32" s="22"/>
      <c r="N32" s="6"/>
      <c r="O32" s="23" t="s">
        <v>42</v>
      </c>
      <c r="P32" s="18">
        <v>51</v>
      </c>
      <c r="Q32" s="18">
        <v>49</v>
      </c>
      <c r="R32" s="18">
        <v>18</v>
      </c>
      <c r="S32" s="18">
        <v>55</v>
      </c>
      <c r="T32" s="18">
        <v>84</v>
      </c>
      <c r="U32" s="24"/>
      <c r="V32" s="24"/>
      <c r="W32" s="24"/>
      <c r="X32" s="24"/>
      <c r="Y32" s="24"/>
      <c r="Z32" s="24"/>
      <c r="AA32" s="24"/>
      <c r="AB32" s="10"/>
      <c r="AC32" s="10"/>
      <c r="AD32" s="10"/>
      <c r="AE32" s="10"/>
      <c r="AF32" s="10"/>
      <c r="AG32" s="10"/>
      <c r="AH32" s="10"/>
    </row>
    <row r="33" spans="1:34">
      <c r="A33" s="16" t="s">
        <v>43</v>
      </c>
      <c r="B33" s="18" t="s">
        <v>17</v>
      </c>
      <c r="C33" s="18" t="s">
        <v>17</v>
      </c>
      <c r="D33" s="18" t="s">
        <v>17</v>
      </c>
      <c r="E33" s="18" t="s">
        <v>17</v>
      </c>
      <c r="F33" s="18"/>
      <c r="G33" s="18"/>
      <c r="H33" s="21"/>
      <c r="I33" s="21"/>
      <c r="J33" s="21"/>
      <c r="K33" s="22"/>
      <c r="L33" s="22"/>
      <c r="M33" s="22"/>
      <c r="N33" s="6"/>
      <c r="O33" s="23" t="s">
        <v>43</v>
      </c>
      <c r="P33" s="18">
        <v>45</v>
      </c>
      <c r="Q33" s="18">
        <v>51</v>
      </c>
      <c r="R33" s="18">
        <v>124</v>
      </c>
      <c r="S33" s="18">
        <v>48</v>
      </c>
      <c r="T33" s="24"/>
      <c r="U33" s="24"/>
      <c r="V33" s="24"/>
      <c r="W33" s="24"/>
      <c r="X33" s="24"/>
      <c r="Y33" s="24"/>
      <c r="Z33" s="24"/>
      <c r="AA33" s="24"/>
      <c r="AB33" s="10"/>
      <c r="AC33" s="10"/>
      <c r="AE33" s="10"/>
      <c r="AF33" s="10"/>
      <c r="AG33" s="10"/>
      <c r="AH33" s="10"/>
    </row>
    <row r="34" spans="1:34">
      <c r="A34" s="16" t="s">
        <v>47</v>
      </c>
      <c r="B34" s="18" t="s">
        <v>17</v>
      </c>
      <c r="C34" s="18" t="s">
        <v>17</v>
      </c>
      <c r="D34" s="18" t="s">
        <v>18</v>
      </c>
      <c r="E34" s="18" t="s">
        <v>17</v>
      </c>
      <c r="F34" s="18"/>
      <c r="G34" s="18"/>
      <c r="H34" s="21"/>
      <c r="I34" s="21"/>
      <c r="J34" s="22"/>
      <c r="K34" s="22"/>
      <c r="L34" s="24"/>
      <c r="M34" s="24"/>
      <c r="N34" s="6"/>
      <c r="O34" s="23" t="s">
        <v>47</v>
      </c>
      <c r="P34" s="18" t="s">
        <v>37</v>
      </c>
      <c r="Q34" s="18" t="s">
        <v>37</v>
      </c>
      <c r="R34" s="18">
        <v>51</v>
      </c>
      <c r="S34" s="18" t="s">
        <v>37</v>
      </c>
      <c r="T34" s="24"/>
      <c r="U34" s="24"/>
      <c r="V34" s="24"/>
      <c r="W34" s="24"/>
      <c r="X34" s="24"/>
      <c r="Y34" s="24"/>
      <c r="Z34" s="24"/>
      <c r="AA34" s="24"/>
      <c r="AB34" s="10"/>
      <c r="AC34" s="33" t="s">
        <v>48</v>
      </c>
      <c r="AD34" s="10">
        <f>SUM(AD3:AD7,AD15:AD19,AD27:AD31)</f>
        <v>84</v>
      </c>
      <c r="AE34" s="10"/>
      <c r="AF34" s="10"/>
      <c r="AG34" s="10"/>
      <c r="AH34" s="10"/>
    </row>
    <row r="35" spans="1:34">
      <c r="P35" s="29"/>
      <c r="Q35" s="29"/>
      <c r="R35" s="29"/>
      <c r="S35" s="29"/>
      <c r="T35" s="29"/>
    </row>
    <row r="36" spans="1:34">
      <c r="A36" s="3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5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32"/>
      <c r="AE36" s="33"/>
      <c r="AF36" s="33"/>
      <c r="AG36" s="33"/>
    </row>
    <row r="37" spans="1:34" ht="15" customHeight="1">
      <c r="A37" s="203" t="s">
        <v>705</v>
      </c>
    </row>
  </sheetData>
  <conditionalFormatting sqref="P3:AA10 P15:AA22 P27:AA34">
    <cfRule type="cellIs" dxfId="135" priority="1" operator="equal">
      <formula>"u"</formula>
    </cfRule>
  </conditionalFormatting>
  <conditionalFormatting sqref="P3:AA10 P15:AA22 P27:AA34">
    <cfRule type="cellIs" dxfId="134" priority="2" operator="equal">
      <formula>"N"</formula>
    </cfRule>
  </conditionalFormatting>
  <conditionalFormatting sqref="P3:AA10 P15:AA22 P27:AA34">
    <cfRule type="cellIs" dxfId="133" priority="3" operator="equal">
      <formula>"?"</formula>
    </cfRule>
  </conditionalFormatting>
  <conditionalFormatting sqref="P3:AA10 P15:AA22 P27:AA34">
    <cfRule type="cellIs" dxfId="132" priority="4" operator="equal">
      <formula>"X"</formula>
    </cfRule>
  </conditionalFormatting>
  <conditionalFormatting sqref="B3:M10 B15:M22 B26:M34">
    <cfRule type="endsWith" dxfId="131" priority="5" operator="endsWith" text="?">
      <formula>RIGHT((B3),LEN("?"))=("?")</formula>
    </cfRule>
  </conditionalFormatting>
  <conditionalFormatting sqref="B3:M10 P3:AA10 B15:M22 P15:AA22 B27:M34 P27:AA34">
    <cfRule type="notContainsBlanks" dxfId="130" priority="6">
      <formula>LEN(TRIM(B3))&gt;0</formula>
    </cfRule>
  </conditionalFormatting>
  <conditionalFormatting sqref="P3:AA10 P15:AA22 P27:AA34">
    <cfRule type="cellIs" dxfId="129" priority="7" operator="equal">
      <formula>0</formula>
    </cfRule>
  </conditionalFormatting>
  <conditionalFormatting sqref="B3:M10 B15:M22 B26:M34">
    <cfRule type="containsBlanks" dxfId="128" priority="8">
      <formula>LEN(TRIM(B3))=0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H46"/>
  <sheetViews>
    <sheetView workbookViewId="0">
      <selection activeCell="AA47" sqref="AA47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17</v>
      </c>
      <c r="C3" s="20" t="s">
        <v>17</v>
      </c>
      <c r="D3" s="21"/>
      <c r="E3" s="18"/>
      <c r="F3" s="18"/>
      <c r="G3" s="18"/>
      <c r="H3" s="18"/>
      <c r="I3" s="21"/>
      <c r="J3" s="22"/>
      <c r="K3" s="22"/>
      <c r="L3" s="22"/>
      <c r="M3" s="22"/>
      <c r="N3" s="6"/>
      <c r="O3" s="23" t="s">
        <v>14</v>
      </c>
      <c r="P3" s="18">
        <v>38</v>
      </c>
      <c r="Q3" s="18" t="s">
        <v>37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3</v>
      </c>
      <c r="AE3" s="27">
        <f>COUNTIFS(P3:AA10,"&gt;0",P3:AA10,"&lt;51",B3:M10,"=i")</f>
        <v>3</v>
      </c>
      <c r="AF3" s="28">
        <f>COUNTIFS(P3:AA10,"&gt;0",P3:AA10,"&lt;51",B3:M10,"=s")</f>
        <v>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17</v>
      </c>
      <c r="C4" s="18" t="s">
        <v>17</v>
      </c>
      <c r="D4" s="18"/>
      <c r="E4" s="18"/>
      <c r="F4" s="18"/>
      <c r="G4" s="24"/>
      <c r="H4" s="18"/>
      <c r="I4" s="21"/>
      <c r="J4" s="21"/>
      <c r="K4" s="22"/>
      <c r="L4" s="22"/>
      <c r="M4" s="22"/>
      <c r="N4" s="6"/>
      <c r="O4" s="23" t="s">
        <v>32</v>
      </c>
      <c r="P4" s="18">
        <v>52</v>
      </c>
      <c r="Q4" s="18">
        <v>61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7</v>
      </c>
      <c r="AE4" s="27">
        <f>COUNTIFS(P4:AA11,"&gt;50",P4:AA11,"&lt;126",B4:M11,"=i")</f>
        <v>6</v>
      </c>
      <c r="AF4" s="28">
        <f>COUNTIFS(P4:AA11,"&gt;50",P4:AA11,"&lt;126",B4:M11,"=s")</f>
        <v>1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17</v>
      </c>
      <c r="C5" s="18" t="s">
        <v>17</v>
      </c>
      <c r="D5" s="18"/>
      <c r="E5" s="18"/>
      <c r="F5" s="18"/>
      <c r="G5" s="18"/>
      <c r="H5" s="18"/>
      <c r="I5" s="21"/>
      <c r="J5" s="21"/>
      <c r="K5" s="22"/>
      <c r="L5" s="22"/>
      <c r="M5" s="22"/>
      <c r="N5" s="6"/>
      <c r="O5" s="23" t="s">
        <v>34</v>
      </c>
      <c r="P5" s="18">
        <v>45</v>
      </c>
      <c r="Q5" s="18">
        <v>54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1</v>
      </c>
      <c r="AE5" s="27">
        <f>COUNTIFS(P5:AA11,"&gt;125",P5:AA11,"&lt;251",B5:M11,"=i")</f>
        <v>1</v>
      </c>
      <c r="AF5" s="28">
        <f>COUNTIFS(P5:AA11,"&gt;125",P5:AA11,"&lt;251",B5:M11,"=s")</f>
        <v>0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 t="s">
        <v>18</v>
      </c>
      <c r="C6" s="18" t="s">
        <v>17</v>
      </c>
      <c r="D6" s="18"/>
      <c r="E6" s="18"/>
      <c r="F6" s="18"/>
      <c r="G6" s="18"/>
      <c r="H6" s="21"/>
      <c r="I6" s="21"/>
      <c r="J6" s="21"/>
      <c r="K6" s="22"/>
      <c r="L6" s="22"/>
      <c r="M6" s="22"/>
      <c r="N6" s="6"/>
      <c r="O6" s="23" t="s">
        <v>38</v>
      </c>
      <c r="P6" s="18">
        <v>92</v>
      </c>
      <c r="Q6" s="18">
        <v>58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0</v>
      </c>
      <c r="AE6" s="27">
        <f>COUNTIFS(P6:AA11,"&gt;250",P6:AA11,"&lt;501",B6:M11,"=i")</f>
        <v>0</v>
      </c>
      <c r="AF6" s="28">
        <f>COUNTIFS(P6:AA11,"&gt;250",P6:AA11,"&lt;501",B6:M11,"=s")</f>
        <v>0</v>
      </c>
      <c r="AG6" s="30">
        <f>COUNTIFS(P6:AA11,"&gt;250",P6:AA11,"&lt;501",B6:M11,"=g")</f>
        <v>0</v>
      </c>
      <c r="AH6" s="10"/>
    </row>
    <row r="7" spans="1:34">
      <c r="A7" s="16" t="s">
        <v>40</v>
      </c>
      <c r="B7" s="18" t="s">
        <v>18</v>
      </c>
      <c r="C7" s="21" t="s">
        <v>17</v>
      </c>
      <c r="D7" s="18"/>
      <c r="E7" s="18"/>
      <c r="F7" s="18"/>
      <c r="G7" s="21"/>
      <c r="H7" s="21"/>
      <c r="I7" s="21"/>
      <c r="J7" s="21"/>
      <c r="K7" s="22"/>
      <c r="L7" s="22"/>
      <c r="M7" s="22"/>
      <c r="N7" s="6"/>
      <c r="O7" s="23" t="s">
        <v>40</v>
      </c>
      <c r="P7" s="18" t="s">
        <v>37</v>
      </c>
      <c r="Q7" s="18" t="s">
        <v>55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COUNTIFS(P7:AA12,"&gt;500",B7:M12,"=i")</f>
        <v>0</v>
      </c>
      <c r="AF7" s="28">
        <f>COUNTIFS(P7:AA12,"&gt;500",B7:M12,"=s")</f>
        <v>0</v>
      </c>
      <c r="AG7" s="30">
        <f>COUNTIFS(P7:AA12,"&gt;500",B7:M12,"=g")</f>
        <v>0</v>
      </c>
      <c r="AH7" s="10"/>
    </row>
    <row r="8" spans="1:34">
      <c r="A8" s="16" t="s">
        <v>42</v>
      </c>
      <c r="B8" s="18" t="s">
        <v>17</v>
      </c>
      <c r="C8" s="21" t="s">
        <v>17</v>
      </c>
      <c r="D8" s="18"/>
      <c r="E8" s="18"/>
      <c r="F8" s="18"/>
      <c r="G8" s="21"/>
      <c r="H8" s="21"/>
      <c r="I8" s="21"/>
      <c r="J8" s="21"/>
      <c r="K8" s="22"/>
      <c r="L8" s="22"/>
      <c r="M8" s="22"/>
      <c r="N8" s="6"/>
      <c r="O8" s="23" t="s">
        <v>42</v>
      </c>
      <c r="P8" s="18">
        <v>153</v>
      </c>
      <c r="Q8" s="18">
        <v>25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17</v>
      </c>
      <c r="C9" s="18" t="s">
        <v>17</v>
      </c>
      <c r="D9" s="18"/>
      <c r="E9" s="18"/>
      <c r="F9" s="18"/>
      <c r="G9" s="18"/>
      <c r="H9" s="21"/>
      <c r="I9" s="21"/>
      <c r="J9" s="21"/>
      <c r="K9" s="22"/>
      <c r="L9" s="22"/>
      <c r="M9" s="22"/>
      <c r="N9" s="6"/>
      <c r="O9" s="23" t="s">
        <v>43</v>
      </c>
      <c r="P9" s="18">
        <v>73</v>
      </c>
      <c r="Q9" s="18">
        <v>91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 t="s">
        <v>17</v>
      </c>
      <c r="C10" s="18"/>
      <c r="D10" s="18"/>
      <c r="E10" s="18"/>
      <c r="F10" s="18"/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18" t="s">
        <v>37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2"/>
      <c r="Q11" s="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2" t="s">
        <v>52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 t="s">
        <v>52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4" t="s">
        <v>3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6"/>
      <c r="O13" s="7" t="s">
        <v>8</v>
      </c>
      <c r="P13" s="8">
        <v>1</v>
      </c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  <c r="X13" s="8">
        <v>9</v>
      </c>
      <c r="Y13" s="8">
        <v>10</v>
      </c>
      <c r="Z13" s="8">
        <v>11</v>
      </c>
      <c r="AA13" s="8">
        <v>12</v>
      </c>
      <c r="AB13" s="10"/>
      <c r="AC13" s="11" t="s">
        <v>9</v>
      </c>
      <c r="AD13" s="12" t="s">
        <v>10</v>
      </c>
      <c r="AE13" s="13" t="s">
        <v>11</v>
      </c>
      <c r="AF13" s="13" t="s">
        <v>12</v>
      </c>
      <c r="AG13" s="13" t="s">
        <v>13</v>
      </c>
      <c r="AH13" s="14"/>
    </row>
    <row r="14" spans="1:34">
      <c r="A14" s="16" t="s">
        <v>14</v>
      </c>
      <c r="B14" s="18" t="s">
        <v>18</v>
      </c>
      <c r="C14" s="20" t="s">
        <v>17</v>
      </c>
      <c r="D14" s="21" t="s">
        <v>17</v>
      </c>
      <c r="E14" s="18"/>
      <c r="F14" s="18"/>
      <c r="G14" s="18"/>
      <c r="H14" s="18"/>
      <c r="I14" s="21"/>
      <c r="J14" s="22"/>
      <c r="K14" s="22"/>
      <c r="L14" s="22"/>
      <c r="M14" s="22"/>
      <c r="N14" s="6"/>
      <c r="O14" s="23" t="s">
        <v>14</v>
      </c>
      <c r="P14" s="18">
        <v>148</v>
      </c>
      <c r="Q14" s="18">
        <v>151</v>
      </c>
      <c r="R14" s="18">
        <v>158</v>
      </c>
      <c r="S14" s="24"/>
      <c r="T14" s="24"/>
      <c r="U14" s="24"/>
      <c r="V14" s="24"/>
      <c r="W14" s="24"/>
      <c r="X14" s="24"/>
      <c r="Y14" s="24"/>
      <c r="Z14" s="24"/>
      <c r="AA14" s="24"/>
      <c r="AB14" s="10"/>
      <c r="AC14" s="25" t="s">
        <v>21</v>
      </c>
      <c r="AD14" s="26">
        <f>COUNTIFS(P14:AA21,"&gt;0",P14:AA21,"&lt;51")</f>
        <v>0</v>
      </c>
      <c r="AE14" s="27">
        <f>COUNTIFS(P14:AA21,"&gt;0",P14:AA21,"&lt;51",B14:M21,"=i")</f>
        <v>0</v>
      </c>
      <c r="AF14" s="28">
        <f>COUNTIFS(P14:AA21,"&gt;0",P14:AA21,"&lt;51",B14:M21,"=s")</f>
        <v>0</v>
      </c>
      <c r="AG14" s="30">
        <f>COUNTIFS(P14:AA21,"&gt;0",P14:AA21,"&lt;51",B14:M21,"=g")</f>
        <v>0</v>
      </c>
      <c r="AH14" s="10"/>
    </row>
    <row r="15" spans="1:34">
      <c r="A15" s="16" t="s">
        <v>32</v>
      </c>
      <c r="B15" s="18" t="s">
        <v>17</v>
      </c>
      <c r="C15" s="18" t="s">
        <v>17</v>
      </c>
      <c r="D15" s="18" t="s">
        <v>18</v>
      </c>
      <c r="E15" s="18"/>
      <c r="F15" s="18"/>
      <c r="G15" s="24"/>
      <c r="H15" s="18"/>
      <c r="I15" s="21"/>
      <c r="J15" s="21"/>
      <c r="K15" s="22"/>
      <c r="L15" s="22"/>
      <c r="M15" s="22"/>
      <c r="N15" s="6"/>
      <c r="O15" s="23" t="s">
        <v>32</v>
      </c>
      <c r="P15" s="18">
        <v>254</v>
      </c>
      <c r="Q15" s="18">
        <v>240</v>
      </c>
      <c r="R15" s="18">
        <v>183</v>
      </c>
      <c r="S15" s="24"/>
      <c r="T15" s="24"/>
      <c r="U15" s="24"/>
      <c r="V15" s="24"/>
      <c r="W15" s="24"/>
      <c r="X15" s="24"/>
      <c r="Y15" s="24"/>
      <c r="Z15" s="24"/>
      <c r="AA15" s="24"/>
      <c r="AB15" s="10"/>
      <c r="AC15" s="25" t="s">
        <v>33</v>
      </c>
      <c r="AD15" s="31">
        <f>COUNTIFS(P14:AA21,"&gt;50",P14:AA21,"&lt;126")</f>
        <v>1</v>
      </c>
      <c r="AE15" s="27">
        <f>COUNTIFS(P15:AA22,"&gt;50",P15:AA22,"&lt;126",B15:M22,"=i")</f>
        <v>0</v>
      </c>
      <c r="AF15" s="28">
        <f>COUNTIFS(P15:AA22,"&gt;50",P15:AA22,"&lt;126",B15:M22,"=s")</f>
        <v>1</v>
      </c>
      <c r="AG15" s="30">
        <f>COUNTIFS(P15:AA22,"&gt;50",P15:AA22,"&lt;126",B15:M22,"=g")</f>
        <v>0</v>
      </c>
      <c r="AH15" s="10"/>
    </row>
    <row r="16" spans="1:34">
      <c r="A16" s="16" t="s">
        <v>34</v>
      </c>
      <c r="B16" s="18" t="s">
        <v>17</v>
      </c>
      <c r="C16" s="18" t="s">
        <v>17</v>
      </c>
      <c r="D16" s="18" t="s">
        <v>18</v>
      </c>
      <c r="E16" s="18"/>
      <c r="F16" s="18"/>
      <c r="G16" s="18"/>
      <c r="H16" s="18"/>
      <c r="I16" s="21"/>
      <c r="J16" s="21"/>
      <c r="K16" s="22"/>
      <c r="L16" s="22"/>
      <c r="M16" s="22"/>
      <c r="N16" s="6"/>
      <c r="O16" s="23" t="s">
        <v>34</v>
      </c>
      <c r="P16" s="18">
        <v>162</v>
      </c>
      <c r="Q16" s="18">
        <v>146</v>
      </c>
      <c r="R16" s="18">
        <v>115</v>
      </c>
      <c r="S16" s="24"/>
      <c r="T16" s="24"/>
      <c r="U16" s="24"/>
      <c r="V16" s="24"/>
      <c r="W16" s="24"/>
      <c r="X16" s="24"/>
      <c r="Y16" s="24"/>
      <c r="Z16" s="24"/>
      <c r="AA16" s="24"/>
      <c r="AB16" s="10"/>
      <c r="AC16" s="25" t="s">
        <v>36</v>
      </c>
      <c r="AD16" s="31">
        <f>COUNTIFS(P14:AA21,"&gt;125",P14:AA21,"&lt;251")</f>
        <v>20</v>
      </c>
      <c r="AE16" s="27">
        <f>COUNTIFS(P16:AA23,"&gt;125",P16:AA23,"&lt;251",B16:M23,"=i")</f>
        <v>13</v>
      </c>
      <c r="AF16" s="28">
        <f>COUNTIFS(P16:AA23,"&gt;125",P16:AA23,"&lt;251",B16:M23,"=s")</f>
        <v>2</v>
      </c>
      <c r="AG16" s="30">
        <f>COUNTIFS(P16:AA23,"&gt;125",P16:AA23,"&lt;251",B16:M23,"=g")</f>
        <v>0</v>
      </c>
      <c r="AH16" s="10"/>
    </row>
    <row r="17" spans="1:34">
      <c r="A17" s="16" t="s">
        <v>38</v>
      </c>
      <c r="B17" s="18" t="s">
        <v>17</v>
      </c>
      <c r="C17" s="18" t="s">
        <v>17</v>
      </c>
      <c r="D17" s="18" t="s">
        <v>17</v>
      </c>
      <c r="E17" s="18"/>
      <c r="F17" s="18"/>
      <c r="G17" s="18"/>
      <c r="H17" s="21"/>
      <c r="I17" s="21"/>
      <c r="J17" s="21"/>
      <c r="K17" s="22"/>
      <c r="L17" s="22"/>
      <c r="M17" s="22"/>
      <c r="N17" s="6"/>
      <c r="O17" s="23" t="s">
        <v>38</v>
      </c>
      <c r="P17" s="18">
        <v>157</v>
      </c>
      <c r="Q17" s="18">
        <v>212</v>
      </c>
      <c r="R17" s="18">
        <v>193</v>
      </c>
      <c r="S17" s="24"/>
      <c r="T17" s="24"/>
      <c r="U17" s="24"/>
      <c r="V17" s="24"/>
      <c r="W17" s="24"/>
      <c r="X17" s="24"/>
      <c r="Y17" s="24"/>
      <c r="Z17" s="24"/>
      <c r="AA17" s="24"/>
      <c r="AB17" s="10"/>
      <c r="AC17" s="25" t="s">
        <v>39</v>
      </c>
      <c r="AD17" s="31">
        <f>COUNTIFS(P14:AA21,"&gt;250",P14:AA21,"&lt;501")</f>
        <v>2</v>
      </c>
      <c r="AE17" s="27">
        <f>COUNTIFS(P17:AA24,"&gt;250",P17:AA24,"&lt;501",B17:M24,"=i")</f>
        <v>1</v>
      </c>
      <c r="AF17" s="28">
        <f>COUNTIFS(P17:AA24,"&gt;250",P17:AA24,"&lt;501",B17:M24,"=s")</f>
        <v>0</v>
      </c>
      <c r="AG17" s="30">
        <f>COUNTIFS(P17:AA24,"&gt;250",P17:AA24,"&lt;501",B17:M24,"=g")</f>
        <v>0</v>
      </c>
      <c r="AH17" s="10"/>
    </row>
    <row r="18" spans="1:34">
      <c r="A18" s="16" t="s">
        <v>40</v>
      </c>
      <c r="B18" s="18" t="s">
        <v>17</v>
      </c>
      <c r="C18" s="21" t="s">
        <v>17</v>
      </c>
      <c r="D18" s="18" t="s">
        <v>17</v>
      </c>
      <c r="E18" s="18"/>
      <c r="F18" s="18"/>
      <c r="G18" s="21"/>
      <c r="H18" s="21"/>
      <c r="I18" s="21"/>
      <c r="J18" s="21"/>
      <c r="K18" s="22"/>
      <c r="L18" s="22"/>
      <c r="M18" s="22"/>
      <c r="N18" s="6"/>
      <c r="O18" s="23" t="s">
        <v>40</v>
      </c>
      <c r="P18" s="18">
        <v>183</v>
      </c>
      <c r="Q18" s="18">
        <v>134</v>
      </c>
      <c r="R18" s="18">
        <v>212</v>
      </c>
      <c r="S18" s="24"/>
      <c r="T18" s="24"/>
      <c r="U18" s="24"/>
      <c r="V18" s="24"/>
      <c r="W18" s="24"/>
      <c r="X18" s="24"/>
      <c r="Y18" s="24"/>
      <c r="Z18" s="24"/>
      <c r="AA18" s="24"/>
      <c r="AB18" s="10"/>
      <c r="AC18" s="25" t="s">
        <v>41</v>
      </c>
      <c r="AD18" s="31">
        <f>COUNTIF(P14:AA21,"&gt;500")</f>
        <v>0</v>
      </c>
      <c r="AE18" s="27">
        <f>COUNTIFS(P18:AA25,"&gt;500",B18:M25,"=i")</f>
        <v>0</v>
      </c>
      <c r="AF18" s="28">
        <f>COUNTIFS(P18:AA25,"&gt;500",B18:M25,"=s")</f>
        <v>0</v>
      </c>
      <c r="AG18" s="30">
        <f>COUNTIFS(P18:AA25,"&gt;500",B18:M25,"=g")</f>
        <v>0</v>
      </c>
      <c r="AH18" s="10"/>
    </row>
    <row r="19" spans="1:34">
      <c r="A19" s="16" t="s">
        <v>42</v>
      </c>
      <c r="B19" s="18" t="s">
        <v>17</v>
      </c>
      <c r="C19" s="21" t="s">
        <v>17</v>
      </c>
      <c r="D19" s="18" t="s">
        <v>18</v>
      </c>
      <c r="E19" s="18"/>
      <c r="F19" s="18"/>
      <c r="G19" s="21"/>
      <c r="H19" s="21"/>
      <c r="I19" s="21"/>
      <c r="J19" s="21"/>
      <c r="K19" s="22"/>
      <c r="L19" s="22"/>
      <c r="M19" s="22"/>
      <c r="N19" s="6"/>
      <c r="O19" s="23" t="s">
        <v>42</v>
      </c>
      <c r="P19" s="18">
        <v>177</v>
      </c>
      <c r="Q19" s="18">
        <v>196</v>
      </c>
      <c r="R19" s="18">
        <v>137</v>
      </c>
      <c r="S19" s="24"/>
      <c r="T19" s="24"/>
      <c r="U19" s="24"/>
      <c r="V19" s="24"/>
      <c r="W19" s="24"/>
      <c r="X19" s="24"/>
      <c r="Y19" s="24"/>
      <c r="Z19" s="24"/>
      <c r="AA19" s="24"/>
      <c r="AB19" s="10"/>
      <c r="AC19" s="10"/>
      <c r="AD19" s="10"/>
      <c r="AE19" s="10"/>
      <c r="AF19" s="10"/>
      <c r="AG19" s="10"/>
      <c r="AH19" s="10"/>
    </row>
    <row r="20" spans="1:34">
      <c r="A20" s="16" t="s">
        <v>43</v>
      </c>
      <c r="B20" s="18" t="s">
        <v>17</v>
      </c>
      <c r="C20" s="18" t="s">
        <v>18</v>
      </c>
      <c r="D20" s="18" t="s">
        <v>17</v>
      </c>
      <c r="E20" s="18"/>
      <c r="F20" s="18"/>
      <c r="G20" s="18"/>
      <c r="H20" s="21"/>
      <c r="I20" s="21"/>
      <c r="J20" s="21"/>
      <c r="K20" s="22"/>
      <c r="L20" s="22"/>
      <c r="M20" s="22"/>
      <c r="N20" s="6"/>
      <c r="O20" s="23" t="s">
        <v>43</v>
      </c>
      <c r="P20" s="18">
        <v>209</v>
      </c>
      <c r="Q20" s="18">
        <v>179</v>
      </c>
      <c r="R20" s="18">
        <v>131</v>
      </c>
      <c r="S20" s="24"/>
      <c r="T20" s="24"/>
      <c r="U20" s="24"/>
      <c r="V20" s="24"/>
      <c r="W20" s="24"/>
      <c r="X20" s="24"/>
      <c r="Y20" s="24"/>
      <c r="Z20" s="24"/>
      <c r="AA20" s="24"/>
      <c r="AB20" s="10"/>
      <c r="AC20" s="10"/>
      <c r="AD20" s="10"/>
      <c r="AE20" s="10"/>
      <c r="AF20" s="10"/>
      <c r="AG20" s="10"/>
      <c r="AH20" s="10"/>
    </row>
    <row r="21" spans="1:34">
      <c r="A21" s="16" t="s">
        <v>47</v>
      </c>
      <c r="B21" s="18" t="s">
        <v>17</v>
      </c>
      <c r="C21" s="18" t="s">
        <v>17</v>
      </c>
      <c r="D21" s="18"/>
      <c r="E21" s="18"/>
      <c r="F21" s="18"/>
      <c r="G21" s="18"/>
      <c r="H21" s="21"/>
      <c r="I21" s="21"/>
      <c r="J21" s="22"/>
      <c r="K21" s="22"/>
      <c r="L21" s="24"/>
      <c r="M21" s="24"/>
      <c r="N21" s="6"/>
      <c r="O21" s="23" t="s">
        <v>47</v>
      </c>
      <c r="P21" s="18">
        <v>202</v>
      </c>
      <c r="Q21" s="18">
        <v>279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10"/>
      <c r="AC21" s="10"/>
      <c r="AD21" s="10"/>
      <c r="AE21" s="10"/>
      <c r="AF21" s="10"/>
      <c r="AG21" s="10"/>
      <c r="AH21" s="10"/>
    </row>
    <row r="22" spans="1:34">
      <c r="A22" s="3"/>
      <c r="B22" s="3"/>
      <c r="C22" s="3"/>
      <c r="D22" s="3"/>
      <c r="E22" s="3"/>
      <c r="F22" s="2"/>
      <c r="G22" s="3"/>
      <c r="H22" s="3"/>
      <c r="I22" s="3"/>
      <c r="J22" s="3"/>
      <c r="K22" s="3"/>
      <c r="L22" s="3"/>
      <c r="M22" s="3"/>
      <c r="N22" s="3"/>
      <c r="O22" s="3"/>
      <c r="P22" s="2"/>
      <c r="Q22" s="2"/>
      <c r="R22" s="2"/>
      <c r="S22" s="3"/>
      <c r="T22" s="29"/>
      <c r="U22" s="3"/>
      <c r="V22" s="3"/>
      <c r="W22" s="3"/>
      <c r="X22" s="3"/>
      <c r="Y22" s="3"/>
      <c r="Z22" s="3"/>
      <c r="AA22" s="3"/>
      <c r="AB22" s="3"/>
      <c r="AC22" s="3"/>
      <c r="AD22" s="3">
        <f>SUM(AD14:AD18)</f>
        <v>23</v>
      </c>
      <c r="AE22" s="3"/>
      <c r="AF22" s="3"/>
      <c r="AG22" s="3"/>
    </row>
    <row r="23" spans="1:34">
      <c r="A23" s="2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54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4" t="s">
        <v>3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6"/>
      <c r="O24" s="7" t="s">
        <v>8</v>
      </c>
      <c r="P24" s="8">
        <v>1</v>
      </c>
      <c r="Q24" s="8">
        <v>2</v>
      </c>
      <c r="R24" s="8">
        <v>3</v>
      </c>
      <c r="S24" s="8">
        <v>4</v>
      </c>
      <c r="T24" s="8">
        <v>5</v>
      </c>
      <c r="U24" s="8">
        <v>6</v>
      </c>
      <c r="V24" s="8">
        <v>7</v>
      </c>
      <c r="W24" s="8">
        <v>8</v>
      </c>
      <c r="X24" s="8">
        <v>9</v>
      </c>
      <c r="Y24" s="8">
        <v>10</v>
      </c>
      <c r="Z24" s="8">
        <v>11</v>
      </c>
      <c r="AA24" s="8">
        <v>12</v>
      </c>
      <c r="AB24" s="10"/>
      <c r="AC24" s="11" t="s">
        <v>9</v>
      </c>
      <c r="AD24" s="12" t="s">
        <v>10</v>
      </c>
      <c r="AE24" s="13" t="s">
        <v>11</v>
      </c>
      <c r="AF24" s="13" t="s">
        <v>12</v>
      </c>
      <c r="AG24" s="13" t="s">
        <v>13</v>
      </c>
      <c r="AH24" s="14"/>
    </row>
    <row r="25" spans="1:34">
      <c r="A25" s="16" t="s">
        <v>14</v>
      </c>
      <c r="B25" s="18"/>
      <c r="C25" s="20"/>
      <c r="D25" s="21" t="s">
        <v>18</v>
      </c>
      <c r="E25" s="18" t="s">
        <v>18</v>
      </c>
      <c r="F25" s="18" t="s">
        <v>17</v>
      </c>
      <c r="G25" s="18"/>
      <c r="H25" s="18"/>
      <c r="I25" s="21"/>
      <c r="J25" s="21"/>
      <c r="K25" s="21"/>
      <c r="L25" s="22"/>
      <c r="M25" s="22"/>
      <c r="N25" s="6"/>
      <c r="O25" s="23" t="s">
        <v>14</v>
      </c>
      <c r="P25" s="18"/>
      <c r="Q25" s="24"/>
      <c r="R25" s="18">
        <v>125</v>
      </c>
      <c r="S25" s="18">
        <v>126</v>
      </c>
      <c r="T25" s="18">
        <v>198</v>
      </c>
      <c r="U25" s="24"/>
      <c r="V25" s="24"/>
      <c r="W25" s="24"/>
      <c r="X25" s="24"/>
      <c r="Y25" s="24"/>
      <c r="Z25" s="24"/>
      <c r="AA25" s="24"/>
      <c r="AB25" s="10"/>
      <c r="AC25" s="25" t="s">
        <v>21</v>
      </c>
      <c r="AD25" s="26">
        <f>COUNTIFS(P25:AA32,"&gt;0",P25:AA32,"&lt;51")</f>
        <v>1</v>
      </c>
      <c r="AE25" s="27">
        <f>COUNTIFS(P25:AA32,"&gt;0",P25:AA32,"&lt;51",B25:M32,"=i")</f>
        <v>1</v>
      </c>
      <c r="AF25" s="28">
        <f>COUNTIFS(P25:AA32,"&gt;0",P25:AA32,"&lt;51",B25:M32,"=s")</f>
        <v>0</v>
      </c>
      <c r="AG25" s="30">
        <f>COUNTIFS(P25:AA32,"&gt;0",P25:AA32,"&lt;51",B25:M32,"=g")</f>
        <v>0</v>
      </c>
      <c r="AH25" s="10"/>
    </row>
    <row r="26" spans="1:34">
      <c r="A26" s="16" t="s">
        <v>32</v>
      </c>
      <c r="B26" s="18"/>
      <c r="C26" s="18" t="s">
        <v>17</v>
      </c>
      <c r="D26" s="18" t="s">
        <v>18</v>
      </c>
      <c r="E26" s="18" t="s">
        <v>18</v>
      </c>
      <c r="F26" s="18"/>
      <c r="G26" s="18"/>
      <c r="H26" s="18"/>
      <c r="I26" s="21"/>
      <c r="J26" s="21"/>
      <c r="K26" s="21"/>
      <c r="L26" s="22"/>
      <c r="M26" s="22"/>
      <c r="N26" s="6"/>
      <c r="O26" s="23" t="s">
        <v>32</v>
      </c>
      <c r="P26" s="18"/>
      <c r="Q26" s="18">
        <v>113</v>
      </c>
      <c r="R26" s="18">
        <v>108</v>
      </c>
      <c r="S26" s="18" t="s">
        <v>37</v>
      </c>
      <c r="T26" s="24"/>
      <c r="U26" s="24"/>
      <c r="V26" s="24"/>
      <c r="W26" s="24"/>
      <c r="X26" s="24"/>
      <c r="Y26" s="24"/>
      <c r="Z26" s="24"/>
      <c r="AA26" s="24"/>
      <c r="AB26" s="10"/>
      <c r="AC26" s="25" t="s">
        <v>33</v>
      </c>
      <c r="AD26" s="31">
        <f>COUNTIFS(P25:AA32,"&gt;50",P25:AA32,"&lt;126")</f>
        <v>11</v>
      </c>
      <c r="AE26" s="27">
        <f>COUNTIFS(P26:AA33,"&gt;50",P26:AA33,"&lt;126",B26:M33,"=i")</f>
        <v>5</v>
      </c>
      <c r="AF26" s="28">
        <f>COUNTIFS(P26:AA33,"&gt;50",P26:AA33,"&lt;126",B26:M33,"=s")</f>
        <v>4</v>
      </c>
      <c r="AG26" s="30">
        <f>COUNTIFS(P26:AA33,"&gt;50",P26:AA33,"&lt;126",B26:M33,"=g")</f>
        <v>1</v>
      </c>
      <c r="AH26" s="10"/>
    </row>
    <row r="27" spans="1:34">
      <c r="A27" s="16" t="s">
        <v>34</v>
      </c>
      <c r="B27" s="18"/>
      <c r="C27" s="18" t="s">
        <v>53</v>
      </c>
      <c r="D27" s="18" t="s">
        <v>17</v>
      </c>
      <c r="E27" s="18" t="s">
        <v>17</v>
      </c>
      <c r="F27" s="18"/>
      <c r="G27" s="18"/>
      <c r="H27" s="18"/>
      <c r="I27" s="21"/>
      <c r="J27" s="21"/>
      <c r="K27" s="22"/>
      <c r="L27" s="22"/>
      <c r="M27" s="22"/>
      <c r="N27" s="6"/>
      <c r="O27" s="23" t="s">
        <v>34</v>
      </c>
      <c r="P27" s="18"/>
      <c r="Q27" s="18"/>
      <c r="R27" s="18">
        <v>146</v>
      </c>
      <c r="S27" s="18">
        <v>189</v>
      </c>
      <c r="T27" s="24"/>
      <c r="U27" s="24"/>
      <c r="V27" s="24"/>
      <c r="W27" s="24"/>
      <c r="X27" s="24"/>
      <c r="Y27" s="24"/>
      <c r="Z27" s="24"/>
      <c r="AA27" s="24"/>
      <c r="AB27" s="10"/>
      <c r="AC27" s="25" t="s">
        <v>36</v>
      </c>
      <c r="AD27" s="31">
        <f>COUNTIFS(P25:AA32,"&gt;125",P25:AA32,"&lt;251")</f>
        <v>8</v>
      </c>
      <c r="AE27" s="27">
        <f>COUNTIFS(P27:AA34,"&gt;125",P27:AA34,"&lt;251",B27:M34,"=i")</f>
        <v>3</v>
      </c>
      <c r="AF27" s="28">
        <f>COUNTIFS(P27:AA34,"&gt;125",P27:AA34,"&lt;251",B27:M34,"=s")</f>
        <v>2</v>
      </c>
      <c r="AG27" s="30">
        <f>COUNTIFS(P27:AA34,"&gt;125",P27:AA34,"&lt;251",B27:M34,"=g")</f>
        <v>1</v>
      </c>
      <c r="AH27" s="10"/>
    </row>
    <row r="28" spans="1:34">
      <c r="A28" s="16" t="s">
        <v>38</v>
      </c>
      <c r="B28" s="18"/>
      <c r="C28" s="18" t="s">
        <v>17</v>
      </c>
      <c r="D28" s="18" t="s">
        <v>53</v>
      </c>
      <c r="E28" s="18" t="s">
        <v>17</v>
      </c>
      <c r="F28" s="18"/>
      <c r="G28" s="18"/>
      <c r="H28" s="21"/>
      <c r="I28" s="21"/>
      <c r="J28" s="21"/>
      <c r="K28" s="22"/>
      <c r="L28" s="22"/>
      <c r="M28" s="22"/>
      <c r="N28" s="6"/>
      <c r="O28" s="23" t="s">
        <v>38</v>
      </c>
      <c r="P28" s="24"/>
      <c r="Q28" s="18">
        <v>64</v>
      </c>
      <c r="R28" s="18" t="s">
        <v>37</v>
      </c>
      <c r="S28" s="18">
        <v>42</v>
      </c>
      <c r="T28" s="24"/>
      <c r="U28" s="24"/>
      <c r="V28" s="24"/>
      <c r="W28" s="24"/>
      <c r="X28" s="24"/>
      <c r="Y28" s="24"/>
      <c r="Z28" s="24"/>
      <c r="AA28" s="24"/>
      <c r="AB28" s="10"/>
      <c r="AC28" s="25" t="s">
        <v>39</v>
      </c>
      <c r="AD28" s="31">
        <f>COUNTIFS(P25:AA32,"&gt;250",P25:AA32,"&lt;501")</f>
        <v>0</v>
      </c>
      <c r="AE28" s="27">
        <f>COUNTIFS(P28:AA35,"&gt;250",P28:AA35,"&lt;501",B28:M35,"=i")</f>
        <v>0</v>
      </c>
      <c r="AF28" s="28">
        <f>COUNTIFS(P28:AA35,"&gt;250",P28:AA35,"&lt;501",B28:M35,"=s")</f>
        <v>0</v>
      </c>
      <c r="AG28" s="30">
        <f>COUNTIFS(P28:AA35,"&gt;250",P28:AA35,"&lt;501",B28:M35,"=g")</f>
        <v>0</v>
      </c>
      <c r="AH28" s="10"/>
    </row>
    <row r="29" spans="1:34">
      <c r="A29" s="16" t="s">
        <v>40</v>
      </c>
      <c r="B29" s="18"/>
      <c r="C29" s="21" t="s">
        <v>53</v>
      </c>
      <c r="D29" s="18" t="s">
        <v>53</v>
      </c>
      <c r="E29" s="18" t="s">
        <v>17</v>
      </c>
      <c r="F29" s="18"/>
      <c r="G29" s="21"/>
      <c r="H29" s="21"/>
      <c r="I29" s="21"/>
      <c r="J29" s="21"/>
      <c r="K29" s="22"/>
      <c r="L29" s="22"/>
      <c r="M29" s="22"/>
      <c r="N29" s="6"/>
      <c r="O29" s="23" t="s">
        <v>40</v>
      </c>
      <c r="P29" s="24"/>
      <c r="Q29" s="18">
        <v>186</v>
      </c>
      <c r="R29" s="18">
        <v>100</v>
      </c>
      <c r="S29" s="18">
        <v>64</v>
      </c>
      <c r="T29" s="24"/>
      <c r="U29" s="24"/>
      <c r="V29" s="24"/>
      <c r="W29" s="24"/>
      <c r="X29" s="24"/>
      <c r="Y29" s="24"/>
      <c r="Z29" s="24"/>
      <c r="AA29" s="24"/>
      <c r="AB29" s="10"/>
      <c r="AC29" s="25" t="s">
        <v>41</v>
      </c>
      <c r="AD29" s="31">
        <f>COUNTIF(P25:AA32,"&gt;500")</f>
        <v>0</v>
      </c>
      <c r="AE29" s="27">
        <f>COUNTIFS(P29:AA36,"&gt;500",B29:M36,"=i")</f>
        <v>0</v>
      </c>
      <c r="AF29" s="28">
        <f>COUNTIFS(P29:AA36,"&gt;500",B29:M36,"=s")</f>
        <v>0</v>
      </c>
      <c r="AG29" s="30">
        <f>COUNTIFS(P29:AA36,"&gt;500",B29:M36,"=g")</f>
        <v>0</v>
      </c>
      <c r="AH29" s="10"/>
    </row>
    <row r="30" spans="1:34">
      <c r="A30" s="16" t="s">
        <v>42</v>
      </c>
      <c r="B30" s="18"/>
      <c r="C30" s="21" t="s">
        <v>18</v>
      </c>
      <c r="D30" s="18" t="s">
        <v>17</v>
      </c>
      <c r="E30" s="18" t="s">
        <v>18</v>
      </c>
      <c r="F30" s="18"/>
      <c r="G30" s="21"/>
      <c r="H30" s="21"/>
      <c r="I30" s="21"/>
      <c r="J30" s="21"/>
      <c r="K30" s="22"/>
      <c r="L30" s="22"/>
      <c r="M30" s="22"/>
      <c r="N30" s="6"/>
      <c r="O30" s="23" t="s">
        <v>42</v>
      </c>
      <c r="P30" s="24"/>
      <c r="Q30" s="18">
        <v>65</v>
      </c>
      <c r="R30" s="18">
        <v>113</v>
      </c>
      <c r="S30" s="18">
        <v>134</v>
      </c>
      <c r="T30" s="24"/>
      <c r="U30" s="24"/>
      <c r="V30" s="24"/>
      <c r="W30" s="24"/>
      <c r="X30" s="24"/>
      <c r="Y30" s="24"/>
      <c r="Z30" s="24"/>
      <c r="AA30" s="24"/>
      <c r="AB30" s="10"/>
      <c r="AC30" s="10"/>
      <c r="AD30" s="10"/>
      <c r="AE30" s="10"/>
      <c r="AF30" s="10"/>
      <c r="AG30" s="10"/>
      <c r="AH30" s="10"/>
    </row>
    <row r="31" spans="1:34">
      <c r="A31" s="16" t="s">
        <v>43</v>
      </c>
      <c r="B31" s="18"/>
      <c r="C31" s="18" t="s">
        <v>18</v>
      </c>
      <c r="D31" s="18" t="s">
        <v>17</v>
      </c>
      <c r="E31" s="18" t="s">
        <v>18</v>
      </c>
      <c r="F31" s="18"/>
      <c r="G31" s="18"/>
      <c r="H31" s="21"/>
      <c r="I31" s="21"/>
      <c r="J31" s="21"/>
      <c r="K31" s="22"/>
      <c r="L31" s="22"/>
      <c r="M31" s="22"/>
      <c r="N31" s="6"/>
      <c r="O31" s="23" t="s">
        <v>43</v>
      </c>
      <c r="P31" s="24"/>
      <c r="Q31" s="18">
        <v>85</v>
      </c>
      <c r="R31" s="18">
        <v>52</v>
      </c>
      <c r="S31" s="18">
        <v>51</v>
      </c>
      <c r="T31" s="24"/>
      <c r="U31" s="24"/>
      <c r="V31" s="24"/>
      <c r="W31" s="24"/>
      <c r="X31" s="24"/>
      <c r="Y31" s="24"/>
      <c r="Z31" s="24"/>
      <c r="AA31" s="24"/>
      <c r="AB31" s="10"/>
      <c r="AC31" s="10"/>
      <c r="AD31" s="10"/>
      <c r="AE31" s="10"/>
      <c r="AF31" s="10"/>
      <c r="AG31" s="10"/>
      <c r="AH31" s="10"/>
    </row>
    <row r="32" spans="1:34">
      <c r="A32" s="16" t="s">
        <v>47</v>
      </c>
      <c r="B32" s="18"/>
      <c r="C32" s="18" t="s">
        <v>17</v>
      </c>
      <c r="D32" s="18" t="s">
        <v>18</v>
      </c>
      <c r="E32" s="18" t="s">
        <v>35</v>
      </c>
      <c r="F32" s="18"/>
      <c r="G32" s="18"/>
      <c r="H32" s="21"/>
      <c r="I32" s="21"/>
      <c r="J32" s="21"/>
      <c r="K32" s="22"/>
      <c r="L32" s="24"/>
      <c r="M32" s="24"/>
      <c r="N32" s="6"/>
      <c r="O32" s="23" t="s">
        <v>47</v>
      </c>
      <c r="P32" s="24"/>
      <c r="Q32" s="18">
        <v>149</v>
      </c>
      <c r="R32" s="18">
        <v>193</v>
      </c>
      <c r="S32" s="18" t="s">
        <v>37</v>
      </c>
      <c r="T32" s="24"/>
      <c r="U32" s="24"/>
      <c r="V32" s="24"/>
      <c r="W32" s="24"/>
      <c r="X32" s="24"/>
      <c r="Y32" s="24"/>
      <c r="Z32" s="24"/>
      <c r="AA32" s="24"/>
      <c r="AB32" s="10"/>
      <c r="AC32" s="10"/>
      <c r="AD32" s="10"/>
      <c r="AE32" s="10"/>
      <c r="AF32" s="10"/>
      <c r="AG32" s="10"/>
      <c r="AH32" s="10"/>
    </row>
    <row r="33" spans="1:33">
      <c r="Q33" s="29"/>
      <c r="R33" s="29"/>
      <c r="S33" s="29"/>
      <c r="T33" s="29"/>
      <c r="U33" s="29"/>
    </row>
    <row r="34" spans="1:33">
      <c r="A34" s="2" t="s">
        <v>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O34" s="2" t="s">
        <v>60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>
      <c r="A35" s="4" t="s">
        <v>3</v>
      </c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  <c r="I35" s="5">
        <v>8</v>
      </c>
      <c r="J35" s="5">
        <v>9</v>
      </c>
      <c r="K35" s="5">
        <v>10</v>
      </c>
      <c r="L35" s="5">
        <v>11</v>
      </c>
      <c r="M35" s="5">
        <v>12</v>
      </c>
      <c r="N35" s="6"/>
      <c r="O35" s="7" t="s">
        <v>8</v>
      </c>
      <c r="P35" s="8">
        <v>1</v>
      </c>
      <c r="Q35" s="8">
        <v>2</v>
      </c>
      <c r="R35" s="8">
        <v>3</v>
      </c>
      <c r="S35" s="8">
        <v>4</v>
      </c>
      <c r="T35" s="8">
        <v>5</v>
      </c>
      <c r="U35" s="8">
        <v>6</v>
      </c>
      <c r="V35" s="8">
        <v>7</v>
      </c>
      <c r="W35" s="8">
        <v>8</v>
      </c>
      <c r="X35" s="8">
        <v>9</v>
      </c>
      <c r="Y35" s="8">
        <v>10</v>
      </c>
      <c r="Z35" s="8">
        <v>11</v>
      </c>
      <c r="AA35" s="8">
        <v>12</v>
      </c>
      <c r="AB35" s="10"/>
      <c r="AC35" s="11" t="s">
        <v>9</v>
      </c>
      <c r="AD35" s="12" t="s">
        <v>10</v>
      </c>
      <c r="AE35" s="13" t="s">
        <v>11</v>
      </c>
      <c r="AF35" s="13" t="s">
        <v>12</v>
      </c>
      <c r="AG35" s="13" t="s">
        <v>13</v>
      </c>
    </row>
    <row r="36" spans="1:33">
      <c r="A36" s="16" t="s">
        <v>14</v>
      </c>
      <c r="B36" s="18"/>
      <c r="C36" s="20"/>
      <c r="D36" s="21"/>
      <c r="E36" s="18"/>
      <c r="F36" s="18"/>
      <c r="G36" s="18" t="s">
        <v>18</v>
      </c>
      <c r="H36" s="18" t="s">
        <v>18</v>
      </c>
      <c r="I36" s="21"/>
      <c r="J36" s="21"/>
      <c r="K36" s="21"/>
      <c r="L36" s="22"/>
      <c r="M36" s="22"/>
      <c r="N36" s="6"/>
      <c r="O36" s="23" t="s">
        <v>14</v>
      </c>
      <c r="P36" s="18"/>
      <c r="Q36" s="24"/>
      <c r="R36" s="24"/>
      <c r="S36" s="18"/>
      <c r="T36" s="18"/>
      <c r="U36" s="18">
        <v>150</v>
      </c>
      <c r="V36" s="18">
        <v>161</v>
      </c>
      <c r="W36" s="18"/>
      <c r="X36" s="18"/>
      <c r="Y36" s="24"/>
      <c r="Z36" s="24"/>
      <c r="AA36" s="24"/>
      <c r="AB36" s="10"/>
      <c r="AC36" s="25" t="s">
        <v>21</v>
      </c>
      <c r="AD36" s="26">
        <f>COUNTIFS(P36:AA43,"&gt;0",P36:AA43,"&lt;51")</f>
        <v>0</v>
      </c>
      <c r="AE36" s="27">
        <f>COUNTIFS(P36:AA43,"&gt;0",P36:AA43,"&lt;51",B36:M43,"=i")</f>
        <v>0</v>
      </c>
      <c r="AF36" s="28">
        <f>COUNTIFS(P36:AA43,"&gt;0",P36:AA43,"&lt;51",B36:M43,"=s")</f>
        <v>0</v>
      </c>
      <c r="AG36" s="30">
        <f>COUNTIFS(P36:AA43,"&gt;0",P36:AA43,"&lt;51",B36:M43,"=g")</f>
        <v>0</v>
      </c>
    </row>
    <row r="37" spans="1:33">
      <c r="A37" s="16" t="s">
        <v>32</v>
      </c>
      <c r="B37" s="18"/>
      <c r="C37" s="18"/>
      <c r="D37" s="18"/>
      <c r="E37" s="18"/>
      <c r="F37" s="18"/>
      <c r="G37" s="18" t="s">
        <v>53</v>
      </c>
      <c r="H37" s="18" t="s">
        <v>17</v>
      </c>
      <c r="I37" s="21"/>
      <c r="J37" s="21"/>
      <c r="K37" s="21"/>
      <c r="L37" s="22"/>
      <c r="M37" s="22"/>
      <c r="N37" s="6"/>
      <c r="O37" s="23" t="s">
        <v>32</v>
      </c>
      <c r="P37" s="18"/>
      <c r="Q37" s="24"/>
      <c r="R37" s="24"/>
      <c r="S37" s="18"/>
      <c r="T37" s="18"/>
      <c r="U37" s="18">
        <v>135</v>
      </c>
      <c r="V37" s="18">
        <v>125</v>
      </c>
      <c r="W37" s="18"/>
      <c r="X37" s="24"/>
      <c r="Y37" s="24"/>
      <c r="Z37" s="24"/>
      <c r="AA37" s="24"/>
      <c r="AB37" s="10"/>
      <c r="AC37" s="25" t="s">
        <v>33</v>
      </c>
      <c r="AD37" s="31">
        <f>COUNTIFS(P36:AA43,"&gt;50",P36:AA43,"&lt;126")</f>
        <v>4</v>
      </c>
      <c r="AE37" s="27">
        <f>COUNTIFS(P37:AA44,"&gt;50",P37:AA44,"&lt;126",B37:M44,"=i")</f>
        <v>4</v>
      </c>
      <c r="AF37" s="28">
        <f>COUNTIFS(P37:AA44,"&gt;50",P37:AA44,"&lt;126",B37:M44,"=s")</f>
        <v>0</v>
      </c>
      <c r="AG37" s="30">
        <f>COUNTIFS(P37:AA44,"&gt;50",P37:AA44,"&lt;126",B37:M44,"=g")</f>
        <v>0</v>
      </c>
    </row>
    <row r="38" spans="1:33">
      <c r="A38" s="16" t="s">
        <v>34</v>
      </c>
      <c r="B38" s="18"/>
      <c r="C38" s="18"/>
      <c r="D38" s="18"/>
      <c r="E38" s="18"/>
      <c r="F38" s="18"/>
      <c r="G38" s="18" t="s">
        <v>17</v>
      </c>
      <c r="H38" s="18" t="s">
        <v>17</v>
      </c>
      <c r="I38" s="21"/>
      <c r="J38" s="21"/>
      <c r="K38" s="22"/>
      <c r="L38" s="22"/>
      <c r="M38" s="22"/>
      <c r="N38" s="6"/>
      <c r="O38" s="23" t="s">
        <v>34</v>
      </c>
      <c r="P38" s="18"/>
      <c r="Q38" s="24"/>
      <c r="R38" s="18"/>
      <c r="S38" s="18"/>
      <c r="T38" s="18"/>
      <c r="U38" s="18">
        <v>104</v>
      </c>
      <c r="V38" s="18">
        <v>146</v>
      </c>
      <c r="W38" s="18"/>
      <c r="X38" s="24"/>
      <c r="Y38" s="24"/>
      <c r="Z38" s="24"/>
      <c r="AA38" s="24"/>
      <c r="AB38" s="10"/>
      <c r="AC38" s="25" t="s">
        <v>36</v>
      </c>
      <c r="AD38" s="31">
        <f>COUNTIFS(P36:AA43,"&gt;125",P36:AA43,"&lt;251")</f>
        <v>14</v>
      </c>
      <c r="AE38" s="27">
        <f>COUNTIFS(P38:AA45,"&gt;125",P38:AA45,"&lt;251",B38:M45,"=i")</f>
        <v>5</v>
      </c>
      <c r="AF38" s="28">
        <f>COUNTIFS(P38:AA45,"&gt;125",P38:AA45,"&lt;251",B38:M45,"=s")</f>
        <v>4</v>
      </c>
      <c r="AG38" s="30">
        <f>COUNTIFS(P38:AA45,"&gt;125",P38:AA45,"&lt;251",B38:M45,"=g")</f>
        <v>2</v>
      </c>
    </row>
    <row r="39" spans="1:33">
      <c r="A39" s="16" t="s">
        <v>38</v>
      </c>
      <c r="B39" s="18"/>
      <c r="C39" s="18"/>
      <c r="D39" s="18"/>
      <c r="E39" s="18"/>
      <c r="F39" s="18"/>
      <c r="G39" s="18" t="s">
        <v>17</v>
      </c>
      <c r="H39" s="21" t="s">
        <v>17</v>
      </c>
      <c r="I39" s="21"/>
      <c r="J39" s="21"/>
      <c r="K39" s="22"/>
      <c r="L39" s="22"/>
      <c r="M39" s="22"/>
      <c r="N39" s="6"/>
      <c r="O39" s="23" t="s">
        <v>38</v>
      </c>
      <c r="P39" s="24"/>
      <c r="Q39" s="24"/>
      <c r="R39" s="18"/>
      <c r="S39" s="18"/>
      <c r="T39" s="18"/>
      <c r="U39" s="18">
        <v>154</v>
      </c>
      <c r="V39" s="18">
        <v>110</v>
      </c>
      <c r="W39" s="18"/>
      <c r="X39" s="24"/>
      <c r="Y39" s="24"/>
      <c r="Z39" s="24"/>
      <c r="AA39" s="24"/>
      <c r="AB39" s="10"/>
      <c r="AC39" s="25" t="s">
        <v>39</v>
      </c>
      <c r="AD39" s="31">
        <f>COUNTIFS(P36:AA43,"&gt;250",P36:AA43,"&lt;501")</f>
        <v>0</v>
      </c>
      <c r="AE39" s="27">
        <f>COUNTIFS(P39:AA45,"&gt;250",P39:AA45,"&lt;501",B39:M45,"=i")</f>
        <v>0</v>
      </c>
      <c r="AF39" s="28">
        <f>COUNTIFS(P39:AA45,"&gt;250",P39:AA45,"&lt;501",B39:M45,"=s")</f>
        <v>0</v>
      </c>
      <c r="AG39" s="30">
        <f>COUNTIFS(P39:AA45,"&gt;250",P39:AA45,"&lt;501",B39:M45,"=g")</f>
        <v>0</v>
      </c>
    </row>
    <row r="40" spans="1:33">
      <c r="A40" s="16" t="s">
        <v>40</v>
      </c>
      <c r="B40" s="18"/>
      <c r="C40" s="21"/>
      <c r="D40" s="18"/>
      <c r="E40" s="18"/>
      <c r="F40" s="18"/>
      <c r="G40" s="21" t="s">
        <v>18</v>
      </c>
      <c r="H40" s="21" t="s">
        <v>17</v>
      </c>
      <c r="I40" s="21"/>
      <c r="J40" s="21"/>
      <c r="K40" s="22"/>
      <c r="L40" s="22"/>
      <c r="M40" s="22"/>
      <c r="N40" s="6"/>
      <c r="O40" s="23" t="s">
        <v>40</v>
      </c>
      <c r="P40" s="24"/>
      <c r="Q40" s="24"/>
      <c r="R40" s="18"/>
      <c r="S40" s="18"/>
      <c r="T40" s="18"/>
      <c r="U40" s="18">
        <v>173</v>
      </c>
      <c r="V40" s="18">
        <v>138</v>
      </c>
      <c r="W40" s="18"/>
      <c r="X40" s="24"/>
      <c r="Y40" s="24"/>
      <c r="Z40" s="24"/>
      <c r="AA40" s="24"/>
      <c r="AB40" s="10"/>
      <c r="AC40" s="25" t="s">
        <v>41</v>
      </c>
      <c r="AD40" s="31">
        <f>COUNTIF(P36:AA43,"&gt;500")</f>
        <v>0</v>
      </c>
      <c r="AE40" s="27">
        <f>COUNTIFS(P40:AA45,"&gt;500",B40:M45,"=i")</f>
        <v>0</v>
      </c>
      <c r="AF40" s="28">
        <f>COUNTIFS(P40:AA45,"&gt;500",B40:M45,"=s")</f>
        <v>0</v>
      </c>
      <c r="AG40" s="30">
        <f>COUNTIFS(P40:AA45,"&gt;500",B40:M45,"=g")</f>
        <v>0</v>
      </c>
    </row>
    <row r="41" spans="1:33">
      <c r="A41" s="16" t="s">
        <v>42</v>
      </c>
      <c r="B41" s="18"/>
      <c r="C41" s="21"/>
      <c r="D41" s="18"/>
      <c r="E41" s="18"/>
      <c r="F41" s="18"/>
      <c r="G41" s="21" t="s">
        <v>17</v>
      </c>
      <c r="H41" s="21" t="s">
        <v>17</v>
      </c>
      <c r="I41" s="21"/>
      <c r="J41" s="21"/>
      <c r="K41" s="22"/>
      <c r="L41" s="22"/>
      <c r="M41" s="22"/>
      <c r="N41" s="6"/>
      <c r="O41" s="23" t="s">
        <v>42</v>
      </c>
      <c r="P41" s="24"/>
      <c r="Q41" s="24"/>
      <c r="R41" s="18"/>
      <c r="S41" s="18"/>
      <c r="T41" s="18"/>
      <c r="U41" s="18">
        <v>133</v>
      </c>
      <c r="V41" s="18">
        <v>135</v>
      </c>
      <c r="W41" s="18"/>
      <c r="X41" s="24"/>
      <c r="Y41" s="24"/>
      <c r="Z41" s="24"/>
      <c r="AA41" s="24"/>
      <c r="AB41" s="10"/>
      <c r="AC41" s="10"/>
      <c r="AD41" s="10"/>
      <c r="AE41" s="10"/>
      <c r="AF41" s="10"/>
      <c r="AG41" s="10"/>
    </row>
    <row r="42" spans="1:33">
      <c r="A42" s="16" t="s">
        <v>43</v>
      </c>
      <c r="B42" s="18"/>
      <c r="C42" s="18"/>
      <c r="D42" s="18"/>
      <c r="E42" s="18"/>
      <c r="F42" s="18" t="s">
        <v>18</v>
      </c>
      <c r="G42" s="18" t="s">
        <v>18</v>
      </c>
      <c r="H42" s="21" t="s">
        <v>53</v>
      </c>
      <c r="I42" s="21"/>
      <c r="J42" s="21"/>
      <c r="K42" s="22"/>
      <c r="L42" s="22"/>
      <c r="M42" s="22"/>
      <c r="N42" s="6"/>
      <c r="O42" s="23" t="s">
        <v>43</v>
      </c>
      <c r="P42" s="24"/>
      <c r="Q42" s="24"/>
      <c r="R42" s="18"/>
      <c r="S42" s="18"/>
      <c r="T42" s="18">
        <v>130</v>
      </c>
      <c r="U42" s="18">
        <v>193</v>
      </c>
      <c r="V42" s="18">
        <v>186</v>
      </c>
      <c r="W42" s="18"/>
      <c r="X42" s="24"/>
      <c r="Y42" s="24"/>
      <c r="Z42" s="24"/>
      <c r="AA42" s="24"/>
      <c r="AB42" s="10"/>
      <c r="AC42" s="10"/>
      <c r="AE42" s="10"/>
      <c r="AF42" s="10"/>
      <c r="AG42" s="10"/>
    </row>
    <row r="43" spans="1:33">
      <c r="A43" s="16" t="s">
        <v>47</v>
      </c>
      <c r="B43" s="18"/>
      <c r="C43" s="18"/>
      <c r="D43" s="18"/>
      <c r="E43" s="18"/>
      <c r="F43" s="18" t="s">
        <v>53</v>
      </c>
      <c r="G43" s="18" t="s">
        <v>17</v>
      </c>
      <c r="H43" s="21" t="s">
        <v>18</v>
      </c>
      <c r="I43" s="21"/>
      <c r="J43" s="21"/>
      <c r="K43" s="22"/>
      <c r="L43" s="24"/>
      <c r="M43" s="18"/>
      <c r="N43" s="6"/>
      <c r="O43" s="23" t="s">
        <v>47</v>
      </c>
      <c r="P43" s="24"/>
      <c r="Q43" s="24"/>
      <c r="R43" s="18"/>
      <c r="S43" s="18"/>
      <c r="T43" s="18">
        <v>140</v>
      </c>
      <c r="U43" s="18">
        <v>113</v>
      </c>
      <c r="V43" s="18">
        <v>150</v>
      </c>
      <c r="W43" s="18"/>
      <c r="X43" s="24"/>
      <c r="Y43" s="24"/>
      <c r="Z43" s="24"/>
      <c r="AA43" s="18"/>
      <c r="AB43" s="10"/>
      <c r="AC43" s="10" t="s">
        <v>688</v>
      </c>
      <c r="AD43" s="10">
        <f>SUM(AD14:AD18,AD25:AD29,AD36:AD40,AD3:AD7)</f>
        <v>72</v>
      </c>
      <c r="AE43" s="10"/>
      <c r="AF43" s="10"/>
      <c r="AG43" s="10"/>
    </row>
    <row r="44" spans="1:33">
      <c r="T44" s="29"/>
    </row>
    <row r="45" spans="1:3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" customHeight="1">
      <c r="A46" s="203" t="s">
        <v>705</v>
      </c>
    </row>
  </sheetData>
  <conditionalFormatting sqref="P3:AA10 P14:AA21 P25:AA32 P36:AA43">
    <cfRule type="cellIs" dxfId="127" priority="1" operator="equal">
      <formula>"u"</formula>
    </cfRule>
  </conditionalFormatting>
  <conditionalFormatting sqref="P3:AA10 P14:AA21 P25:AA32 P36:AA43">
    <cfRule type="cellIs" dxfId="126" priority="2" operator="equal">
      <formula>"N"</formula>
    </cfRule>
  </conditionalFormatting>
  <conditionalFormatting sqref="P3:AA10 P14:AA21 P25:AA32 P36:AA43">
    <cfRule type="cellIs" dxfId="125" priority="3" operator="equal">
      <formula>"?"</formula>
    </cfRule>
  </conditionalFormatting>
  <conditionalFormatting sqref="P3:AA10 P14:AA21 P25:AA32 P36:AA43">
    <cfRule type="cellIs" dxfId="124" priority="4" operator="equal">
      <formula>"X"</formula>
    </cfRule>
  </conditionalFormatting>
  <conditionalFormatting sqref="P3:AA10 P14:AA21 P25:AA32 P36:AA43">
    <cfRule type="cellIs" dxfId="123" priority="5" operator="equal">
      <formula>0</formula>
    </cfRule>
  </conditionalFormatting>
  <conditionalFormatting sqref="B3:M10 B14:M21 B25:M32 B36:M43">
    <cfRule type="endsWith" dxfId="122" priority="6" operator="endsWith" text="?">
      <formula>RIGHT((B3),LEN("?"))=("?")</formula>
    </cfRule>
  </conditionalFormatting>
  <conditionalFormatting sqref="B3:M10 P3:AA10 B14:M21 P14:AA21 B25:M32 P25:AA32 B36:M43 P36:AA43">
    <cfRule type="notContainsBlanks" dxfId="121" priority="7">
      <formula>LEN(TRIM(B3))&gt;0</formula>
    </cfRule>
  </conditionalFormatting>
  <conditionalFormatting sqref="B3:M10 B14:M21 B25:M32 B36:M43">
    <cfRule type="containsBlanks" dxfId="120" priority="8">
      <formula>LEN(TRIM(B3))=0</formula>
    </cfRule>
  </conditionalFormatting>
  <conditionalFormatting sqref="P3 P14 P25 P36">
    <cfRule type="notContainsBlanks" dxfId="119" priority="9">
      <formula>LEN(TRIM(P3))&gt;0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H12"/>
  <sheetViews>
    <sheetView workbookViewId="0">
      <selection activeCell="AC10" sqref="AC10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17</v>
      </c>
      <c r="C3" s="20" t="s">
        <v>17</v>
      </c>
      <c r="D3" s="21"/>
      <c r="E3" s="18"/>
      <c r="F3" s="18"/>
      <c r="G3" s="18"/>
      <c r="H3" s="18"/>
      <c r="I3" s="21"/>
      <c r="J3" s="22"/>
      <c r="K3" s="22"/>
      <c r="L3" s="22"/>
      <c r="M3" s="22"/>
      <c r="N3" s="6"/>
      <c r="O3" s="23" t="s">
        <v>14</v>
      </c>
      <c r="P3" s="18">
        <v>58</v>
      </c>
      <c r="Q3" s="18"/>
      <c r="R3" s="24"/>
      <c r="S3" s="24"/>
      <c r="T3" s="24"/>
      <c r="U3" s="24"/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1</v>
      </c>
      <c r="AE3" s="27">
        <f>COUNTIFS(P3:AA10,"&gt;0",P3:AA10,"&lt;51",B3:M10,"=i")</f>
        <v>1</v>
      </c>
      <c r="AF3" s="28">
        <f>COUNTIFS(P3:AA10,"&gt;0",P3:AA10,"&lt;51",B3:M10,"=s")</f>
        <v>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17</v>
      </c>
      <c r="C4" s="18"/>
      <c r="D4" s="18"/>
      <c r="E4" s="18"/>
      <c r="F4" s="18"/>
      <c r="G4" s="24"/>
      <c r="H4" s="18"/>
      <c r="I4" s="21"/>
      <c r="J4" s="21"/>
      <c r="K4" s="22"/>
      <c r="L4" s="22"/>
      <c r="M4" s="22"/>
      <c r="N4" s="6"/>
      <c r="O4" s="23" t="s">
        <v>32</v>
      </c>
      <c r="P4" s="18">
        <v>300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2</v>
      </c>
      <c r="AE4" s="27">
        <f>COUNTIFS(P4:AA10,"&gt;50",P4:AA10,"&lt;126",B4:M10,"=i")</f>
        <v>0</v>
      </c>
      <c r="AF4" s="28">
        <f>COUNTIFS(P4:AA10,"&gt;50",P4:AA10,"&lt;126",B4:M10,"=s")</f>
        <v>0</v>
      </c>
      <c r="AG4" s="30">
        <f>COUNTIFS(P4:AA10,"&gt;50",P4:AA10,"&lt;126",B4:M10,"=g")</f>
        <v>1</v>
      </c>
      <c r="AH4" s="10"/>
    </row>
    <row r="5" spans="1:34">
      <c r="A5" s="16" t="s">
        <v>34</v>
      </c>
      <c r="B5" s="18" t="s">
        <v>17</v>
      </c>
      <c r="C5" s="18"/>
      <c r="D5" s="18"/>
      <c r="E5" s="18"/>
      <c r="F5" s="18"/>
      <c r="G5" s="18"/>
      <c r="H5" s="18"/>
      <c r="I5" s="21"/>
      <c r="J5" s="21"/>
      <c r="K5" s="22"/>
      <c r="L5" s="22"/>
      <c r="M5" s="22"/>
      <c r="N5" s="6"/>
      <c r="O5" s="23" t="s">
        <v>34</v>
      </c>
      <c r="P5" s="18">
        <v>36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0</v>
      </c>
      <c r="AE5" s="27">
        <f>COUNTIFS(P5:AA10,"&gt;125",P5:AA10,"&lt;251",B5:M10,"=i")</f>
        <v>0</v>
      </c>
      <c r="AF5" s="28">
        <f>COUNTIFS(P5:AA10,"&gt;125",P5:AA10,"&lt;251",B5:M10,"=s")</f>
        <v>0</v>
      </c>
      <c r="AG5" s="30">
        <f>COUNTIFS(P5:AA10,"&gt;125",P5:AA10,"&lt;251",B5:M10,"=g")</f>
        <v>0</v>
      </c>
      <c r="AH5" s="10"/>
    </row>
    <row r="6" spans="1:34">
      <c r="A6" s="16" t="s">
        <v>38</v>
      </c>
      <c r="B6" s="80"/>
      <c r="C6" s="18"/>
      <c r="D6" s="18"/>
      <c r="E6" s="18"/>
      <c r="F6" s="18"/>
      <c r="G6" s="18"/>
      <c r="H6" s="21"/>
      <c r="I6" s="21"/>
      <c r="J6" s="21"/>
      <c r="K6" s="22"/>
      <c r="L6" s="22"/>
      <c r="M6" s="22"/>
      <c r="N6" s="6"/>
      <c r="O6" s="23" t="s">
        <v>38</v>
      </c>
      <c r="P6" s="18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3</v>
      </c>
      <c r="AE6" s="27">
        <f>COUNTIFS(P6:AA10,"&gt;250",P6:AA10,"&lt;501",B6:M10,"=i")</f>
        <v>2</v>
      </c>
      <c r="AF6" s="28">
        <f>COUNTIFS(P6:AA10,"&gt;250",P6:AA10,"&lt;501",B6:M10,"=s")</f>
        <v>0</v>
      </c>
      <c r="AG6" s="30">
        <f>COUNTIFS(P6:AA10,"&gt;250",P6:AA10,"&lt;501",B6:M10,"=g")</f>
        <v>0</v>
      </c>
      <c r="AH6" s="10"/>
    </row>
    <row r="7" spans="1:34">
      <c r="A7" s="16" t="s">
        <v>40</v>
      </c>
      <c r="B7" s="18"/>
      <c r="C7" s="21"/>
      <c r="D7" s="18"/>
      <c r="E7" s="18"/>
      <c r="F7" s="18"/>
      <c r="G7" s="21"/>
      <c r="H7" s="21"/>
      <c r="I7" s="21"/>
      <c r="J7" s="21"/>
      <c r="K7" s="22"/>
      <c r="L7" s="22"/>
      <c r="M7" s="22"/>
      <c r="N7" s="6"/>
      <c r="O7" s="23" t="s">
        <v>40</v>
      </c>
      <c r="P7" s="18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COUNTIFS(P7:AA10,"&gt;500",B7:M10,"=i")</f>
        <v>0</v>
      </c>
      <c r="AF7" s="28">
        <f>COUNTIFS(P7:AA10,"&gt;500",B7:M10,"=s")</f>
        <v>0</v>
      </c>
      <c r="AG7" s="30">
        <f>COUNTIFS(P7:AA10,"&gt;500",B7:M10,"=g")</f>
        <v>0</v>
      </c>
      <c r="AH7" s="10"/>
    </row>
    <row r="8" spans="1:34">
      <c r="A8" s="16" t="s">
        <v>42</v>
      </c>
      <c r="B8" s="18" t="s">
        <v>53</v>
      </c>
      <c r="C8" s="21"/>
      <c r="D8" s="18"/>
      <c r="E8" s="18"/>
      <c r="F8" s="18"/>
      <c r="G8" s="21"/>
      <c r="H8" s="21"/>
      <c r="I8" s="21"/>
      <c r="J8" s="21"/>
      <c r="K8" s="22"/>
      <c r="L8" s="22"/>
      <c r="M8" s="22"/>
      <c r="N8" s="6"/>
      <c r="O8" s="23" t="s">
        <v>42</v>
      </c>
      <c r="P8" s="18">
        <v>104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17</v>
      </c>
      <c r="C9" s="18"/>
      <c r="D9" s="18"/>
      <c r="E9" s="18"/>
      <c r="F9" s="18"/>
      <c r="G9" s="18"/>
      <c r="H9" s="21"/>
      <c r="I9" s="21"/>
      <c r="J9" s="21"/>
      <c r="K9" s="22"/>
      <c r="L9" s="22"/>
      <c r="M9" s="22"/>
      <c r="N9" s="6"/>
      <c r="O9" s="23" t="s">
        <v>43</v>
      </c>
      <c r="P9" s="18">
        <v>267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0"/>
      <c r="AC9" s="10"/>
      <c r="AE9" s="10"/>
      <c r="AF9" s="10"/>
      <c r="AG9" s="10"/>
      <c r="AH9" s="10"/>
    </row>
    <row r="10" spans="1:34">
      <c r="A10" s="16" t="s">
        <v>47</v>
      </c>
      <c r="B10" s="18" t="s">
        <v>17</v>
      </c>
      <c r="C10" s="18"/>
      <c r="D10" s="18"/>
      <c r="E10" s="18"/>
      <c r="F10" s="18"/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18">
        <v>303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0"/>
      <c r="AC10" s="2" t="s">
        <v>48</v>
      </c>
      <c r="AD10" s="3">
        <f>SUM(AD3:AD7)</f>
        <v>6</v>
      </c>
      <c r="AE10" s="10"/>
      <c r="AF10" s="10"/>
      <c r="AG10" s="10"/>
      <c r="AH10" s="10"/>
    </row>
    <row r="12" spans="1:34" ht="15" customHeight="1">
      <c r="A12" s="203" t="s">
        <v>705</v>
      </c>
    </row>
  </sheetData>
  <conditionalFormatting sqref="P6:P7 B3:M10">
    <cfRule type="cellIs" dxfId="118" priority="1" operator="equal">
      <formula>"u"</formula>
    </cfRule>
  </conditionalFormatting>
  <conditionalFormatting sqref="P3:AA10 B3:M10">
    <cfRule type="cellIs" dxfId="117" priority="2" operator="equal">
      <formula>"N"</formula>
    </cfRule>
  </conditionalFormatting>
  <conditionalFormatting sqref="P3:AA10 B3:M10">
    <cfRule type="cellIs" dxfId="116" priority="3" operator="equal">
      <formula>"?"</formula>
    </cfRule>
  </conditionalFormatting>
  <conditionalFormatting sqref="P3:AA10 B3:M10">
    <cfRule type="cellIs" dxfId="115" priority="4" operator="equal">
      <formula>"X"</formula>
    </cfRule>
  </conditionalFormatting>
  <conditionalFormatting sqref="P3:AA10 B3:M10">
    <cfRule type="cellIs" dxfId="114" priority="5" operator="equal">
      <formula>0</formula>
    </cfRule>
  </conditionalFormatting>
  <conditionalFormatting sqref="P6:P7 B3:M10">
    <cfRule type="endsWith" dxfId="113" priority="6" operator="endsWith" text="?">
      <formula>RIGHT((B3),LEN("?"))=("?")</formula>
    </cfRule>
  </conditionalFormatting>
  <conditionalFormatting sqref="P3:AA10 B3:M10">
    <cfRule type="notContainsBlanks" dxfId="112" priority="7">
      <formula>LEN(TRIM(B3))&gt;0</formula>
    </cfRule>
  </conditionalFormatting>
  <conditionalFormatting sqref="P6:P7 B3:M10">
    <cfRule type="containsBlanks" dxfId="111" priority="8">
      <formula>LEN(TRIM(B3))=0</formula>
    </cfRule>
  </conditionalFormatting>
  <conditionalFormatting sqref="P3">
    <cfRule type="notContainsBlanks" dxfId="110" priority="9">
      <formula>LEN(TRIM(P3))&gt;0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H13"/>
  <sheetViews>
    <sheetView workbookViewId="0">
      <selection activeCell="AC10" sqref="AC10"/>
    </sheetView>
  </sheetViews>
  <sheetFormatPr baseColWidth="10" defaultColWidth="11.1640625" defaultRowHeight="15" customHeight="1"/>
  <cols>
    <col min="1" max="13" width="6.6640625" customWidth="1"/>
    <col min="15" max="27" width="7.1640625" customWidth="1"/>
  </cols>
  <sheetData>
    <row r="1" spans="1:34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59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 t="s">
        <v>17</v>
      </c>
      <c r="C3" s="20" t="s">
        <v>17</v>
      </c>
      <c r="D3" s="21" t="s">
        <v>18</v>
      </c>
      <c r="E3" s="18" t="s">
        <v>18</v>
      </c>
      <c r="F3" s="18" t="s">
        <v>17</v>
      </c>
      <c r="G3" s="18" t="s">
        <v>17</v>
      </c>
      <c r="H3" s="18" t="s">
        <v>18</v>
      </c>
      <c r="I3" s="21" t="s">
        <v>17</v>
      </c>
      <c r="J3" s="21" t="s">
        <v>17</v>
      </c>
      <c r="K3" s="22"/>
      <c r="L3" s="22"/>
      <c r="M3" s="22"/>
      <c r="N3" s="6"/>
      <c r="O3" s="23" t="s">
        <v>14</v>
      </c>
      <c r="P3" s="18">
        <v>22</v>
      </c>
      <c r="Q3" s="18">
        <v>40</v>
      </c>
      <c r="R3" s="18">
        <v>49</v>
      </c>
      <c r="S3" s="18">
        <v>64</v>
      </c>
      <c r="T3" s="18" t="s">
        <v>37</v>
      </c>
      <c r="U3" s="18">
        <v>25</v>
      </c>
      <c r="V3" s="18">
        <v>53</v>
      </c>
      <c r="W3" s="18">
        <v>25</v>
      </c>
      <c r="X3" s="18">
        <v>51</v>
      </c>
      <c r="Y3" s="24"/>
      <c r="Z3" s="24"/>
      <c r="AA3" s="24"/>
      <c r="AB3" s="10"/>
      <c r="AC3" s="25" t="s">
        <v>21</v>
      </c>
      <c r="AD3" s="26">
        <f>COUNTIFS(P3:AA10,"&gt;0",P3:AA10,"&lt;51")</f>
        <v>31</v>
      </c>
      <c r="AE3" s="27">
        <f>COUNTIFS(P3:AA10,"&gt;0",P3:AA10,"&lt;51",B3:M10,"=i")</f>
        <v>21</v>
      </c>
      <c r="AF3" s="28">
        <f>COUNTIFS(P3:AA10,"&gt;0",P3:AA10,"&lt;51",B3:M10,"=s")</f>
        <v>10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17</v>
      </c>
      <c r="C4" s="18" t="s">
        <v>17</v>
      </c>
      <c r="D4" s="18" t="s">
        <v>18</v>
      </c>
      <c r="E4" s="18" t="s">
        <v>17</v>
      </c>
      <c r="F4" s="18" t="s">
        <v>17</v>
      </c>
      <c r="G4" s="18" t="s">
        <v>17</v>
      </c>
      <c r="H4" s="18" t="s">
        <v>17</v>
      </c>
      <c r="I4" s="21" t="s">
        <v>17</v>
      </c>
      <c r="J4" s="21" t="s">
        <v>17</v>
      </c>
      <c r="K4" s="22"/>
      <c r="L4" s="22"/>
      <c r="M4" s="22"/>
      <c r="N4" s="6"/>
      <c r="O4" s="23" t="s">
        <v>32</v>
      </c>
      <c r="P4" s="18">
        <v>14</v>
      </c>
      <c r="Q4" s="18" t="s">
        <v>37</v>
      </c>
      <c r="R4" s="18">
        <v>105</v>
      </c>
      <c r="S4" s="18">
        <v>49</v>
      </c>
      <c r="T4" s="18">
        <v>29</v>
      </c>
      <c r="U4" s="18">
        <v>25</v>
      </c>
      <c r="V4" s="18" t="s">
        <v>37</v>
      </c>
      <c r="W4" s="18">
        <v>60</v>
      </c>
      <c r="X4" s="18" t="s">
        <v>37</v>
      </c>
      <c r="Y4" s="24"/>
      <c r="Z4" s="24"/>
      <c r="AA4" s="24"/>
      <c r="AB4" s="10"/>
      <c r="AC4" s="25" t="s">
        <v>33</v>
      </c>
      <c r="AD4" s="31">
        <f>COUNTIFS(P3:AA10,"&gt;50",P3:AA10,"&lt;126")</f>
        <v>14</v>
      </c>
      <c r="AE4" s="27">
        <f>COUNTIFS(P4:AA11,"&gt;50",P4:AA11,"&lt;126",B4:M11,"=i")</f>
        <v>3</v>
      </c>
      <c r="AF4" s="28">
        <f>COUNTIFS(P4:AA11,"&gt;50",P4:AA11,"&lt;126",B4:M11,"=s")</f>
        <v>8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17</v>
      </c>
      <c r="C5" s="18" t="s">
        <v>18</v>
      </c>
      <c r="D5" s="18" t="s">
        <v>17</v>
      </c>
      <c r="E5" s="18" t="s">
        <v>18</v>
      </c>
      <c r="F5" s="18" t="s">
        <v>17</v>
      </c>
      <c r="G5" s="18" t="s">
        <v>17</v>
      </c>
      <c r="H5" s="18" t="s">
        <v>18</v>
      </c>
      <c r="I5" s="21" t="s">
        <v>18</v>
      </c>
      <c r="J5" s="21"/>
      <c r="K5" s="22"/>
      <c r="L5" s="22"/>
      <c r="M5" s="22"/>
      <c r="N5" s="6"/>
      <c r="O5" s="23" t="s">
        <v>34</v>
      </c>
      <c r="P5" s="18" t="s">
        <v>37</v>
      </c>
      <c r="Q5" s="18">
        <v>46</v>
      </c>
      <c r="R5" s="18" t="s">
        <v>37</v>
      </c>
      <c r="S5" s="18">
        <v>56</v>
      </c>
      <c r="T5" s="18">
        <v>62</v>
      </c>
      <c r="U5" s="18">
        <v>21</v>
      </c>
      <c r="V5" s="18">
        <v>46</v>
      </c>
      <c r="W5" s="18">
        <v>36</v>
      </c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3</v>
      </c>
      <c r="AE5" s="27">
        <f>COUNTIFS(P5:AA11,"&gt;125",P5:AA11,"&lt;251",B5:M11,"=i")</f>
        <v>1</v>
      </c>
      <c r="AF5" s="28">
        <f>COUNTIFS(P5:AA11,"&gt;125",P5:AA11,"&lt;251",B5:M11,"=s")</f>
        <v>1</v>
      </c>
      <c r="AG5" s="30">
        <f>COUNTIFS(P5:AA11,"&gt;125",P5:AA11,"&lt;251",B5:M11,"=g")</f>
        <v>0</v>
      </c>
      <c r="AH5" s="10"/>
    </row>
    <row r="6" spans="1:34">
      <c r="A6" s="16" t="s">
        <v>38</v>
      </c>
      <c r="B6" s="18" t="s">
        <v>18</v>
      </c>
      <c r="C6" s="18" t="s">
        <v>18</v>
      </c>
      <c r="D6" s="18" t="s">
        <v>17</v>
      </c>
      <c r="E6" s="18" t="s">
        <v>18</v>
      </c>
      <c r="F6" s="18" t="s">
        <v>17</v>
      </c>
      <c r="G6" s="18" t="s">
        <v>18</v>
      </c>
      <c r="H6" s="21" t="s">
        <v>17</v>
      </c>
      <c r="I6" s="21" t="s">
        <v>17</v>
      </c>
      <c r="J6" s="21"/>
      <c r="K6" s="22"/>
      <c r="L6" s="22"/>
      <c r="M6" s="22"/>
      <c r="N6" s="6"/>
      <c r="O6" s="23" t="s">
        <v>38</v>
      </c>
      <c r="P6" s="18">
        <v>71</v>
      </c>
      <c r="Q6" s="18">
        <v>53</v>
      </c>
      <c r="R6" s="18" t="s">
        <v>37</v>
      </c>
      <c r="S6" s="18">
        <v>160</v>
      </c>
      <c r="T6" s="18">
        <v>37</v>
      </c>
      <c r="U6" s="18">
        <v>32</v>
      </c>
      <c r="V6" s="18" t="s">
        <v>37</v>
      </c>
      <c r="W6" s="18" t="s">
        <v>37</v>
      </c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0</v>
      </c>
      <c r="AE6" s="27">
        <f>COUNTIFS(P6:AA11,"&gt;250",P6:AA11,"&lt;501",B6:M11,"=i")</f>
        <v>0</v>
      </c>
      <c r="AF6" s="28">
        <f>COUNTIFS(P6:AA11,"&gt;250",P6:AA11,"&lt;501",B6:M11,"=s")</f>
        <v>0</v>
      </c>
      <c r="AG6" s="30">
        <f>COUNTIFS(P6:AA11,"&gt;250",P6:AA11,"&lt;501",B6:M11,"=g")</f>
        <v>0</v>
      </c>
      <c r="AH6" s="10"/>
    </row>
    <row r="7" spans="1:34">
      <c r="A7" s="16" t="s">
        <v>40</v>
      </c>
      <c r="B7" s="18" t="s">
        <v>17</v>
      </c>
      <c r="C7" s="21" t="s">
        <v>17</v>
      </c>
      <c r="D7" s="18" t="s">
        <v>17</v>
      </c>
      <c r="E7" s="18" t="s">
        <v>17</v>
      </c>
      <c r="F7" s="18" t="s">
        <v>17</v>
      </c>
      <c r="G7" s="21" t="s">
        <v>18</v>
      </c>
      <c r="H7" s="21" t="s">
        <v>17</v>
      </c>
      <c r="I7" s="21" t="s">
        <v>18</v>
      </c>
      <c r="J7" s="21"/>
      <c r="K7" s="22"/>
      <c r="L7" s="22"/>
      <c r="M7" s="22"/>
      <c r="N7" s="6"/>
      <c r="O7" s="23" t="s">
        <v>40</v>
      </c>
      <c r="P7" s="18" t="s">
        <v>37</v>
      </c>
      <c r="Q7" s="18">
        <v>61</v>
      </c>
      <c r="R7" s="18" t="s">
        <v>37</v>
      </c>
      <c r="S7" s="18">
        <v>33</v>
      </c>
      <c r="T7" s="18">
        <v>147</v>
      </c>
      <c r="U7" s="18">
        <v>45</v>
      </c>
      <c r="V7" s="18">
        <v>48</v>
      </c>
      <c r="W7" s="18">
        <v>44</v>
      </c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COUNTIFS(P7:AA11,"&gt;500",B7:M11,"=i")</f>
        <v>0</v>
      </c>
      <c r="AF7" s="28">
        <f>COUNTIFS(P7:AA11,"&gt;500",B7:M11,"=s")</f>
        <v>0</v>
      </c>
      <c r="AG7" s="30">
        <f>COUNTIFS(P7:AA11,"&gt;500",B7:M11,"=g")</f>
        <v>0</v>
      </c>
      <c r="AH7" s="10"/>
    </row>
    <row r="8" spans="1:34">
      <c r="A8" s="16" t="s">
        <v>42</v>
      </c>
      <c r="B8" s="18" t="s">
        <v>18</v>
      </c>
      <c r="C8" s="21" t="s">
        <v>18</v>
      </c>
      <c r="D8" s="18" t="s">
        <v>37</v>
      </c>
      <c r="E8" s="18" t="s">
        <v>17</v>
      </c>
      <c r="F8" s="18" t="s">
        <v>17</v>
      </c>
      <c r="G8" s="21" t="s">
        <v>18</v>
      </c>
      <c r="H8" s="21" t="s">
        <v>17</v>
      </c>
      <c r="I8" s="21" t="s">
        <v>17</v>
      </c>
      <c r="J8" s="21"/>
      <c r="K8" s="22"/>
      <c r="L8" s="22"/>
      <c r="M8" s="22"/>
      <c r="N8" s="6"/>
      <c r="O8" s="23" t="s">
        <v>42</v>
      </c>
      <c r="P8" s="18">
        <v>45</v>
      </c>
      <c r="Q8" s="18" t="s">
        <v>37</v>
      </c>
      <c r="R8" s="18">
        <v>187</v>
      </c>
      <c r="S8" s="18" t="s">
        <v>37</v>
      </c>
      <c r="T8" s="18">
        <v>30</v>
      </c>
      <c r="U8" s="18">
        <v>102</v>
      </c>
      <c r="V8" s="18">
        <v>37</v>
      </c>
      <c r="W8" s="18" t="s">
        <v>37</v>
      </c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 t="s">
        <v>18</v>
      </c>
      <c r="C9" s="18" t="s">
        <v>17</v>
      </c>
      <c r="D9" s="18" t="s">
        <v>17</v>
      </c>
      <c r="E9" s="18" t="s">
        <v>18</v>
      </c>
      <c r="F9" s="18" t="s">
        <v>17</v>
      </c>
      <c r="G9" s="18" t="s">
        <v>17</v>
      </c>
      <c r="H9" s="21" t="s">
        <v>17</v>
      </c>
      <c r="I9" s="21" t="s">
        <v>17</v>
      </c>
      <c r="J9" s="21"/>
      <c r="K9" s="22"/>
      <c r="L9" s="22"/>
      <c r="M9" s="22"/>
      <c r="N9" s="6"/>
      <c r="O9" s="23" t="s">
        <v>43</v>
      </c>
      <c r="P9" s="18">
        <v>32</v>
      </c>
      <c r="Q9" s="18">
        <v>35</v>
      </c>
      <c r="R9" s="18">
        <v>47</v>
      </c>
      <c r="S9" s="18">
        <v>52</v>
      </c>
      <c r="T9" s="18">
        <v>48</v>
      </c>
      <c r="U9" s="18">
        <v>32</v>
      </c>
      <c r="V9" s="18" t="s">
        <v>37</v>
      </c>
      <c r="W9" s="18" t="s">
        <v>37</v>
      </c>
      <c r="X9" s="24"/>
      <c r="Y9" s="24"/>
      <c r="Z9" s="24"/>
      <c r="AA9" s="24"/>
      <c r="AB9" s="10"/>
      <c r="AC9" s="10"/>
      <c r="AE9" s="10"/>
      <c r="AF9" s="10"/>
      <c r="AG9" s="10"/>
      <c r="AH9" s="10"/>
    </row>
    <row r="10" spans="1:34">
      <c r="A10" s="16" t="s">
        <v>47</v>
      </c>
      <c r="B10" s="18" t="s">
        <v>18</v>
      </c>
      <c r="C10" s="18" t="s">
        <v>18</v>
      </c>
      <c r="D10" s="18" t="s">
        <v>17</v>
      </c>
      <c r="E10" s="18" t="s">
        <v>17</v>
      </c>
      <c r="F10" s="18" t="s">
        <v>17</v>
      </c>
      <c r="G10" s="18" t="s">
        <v>18</v>
      </c>
      <c r="H10" s="21" t="s">
        <v>17</v>
      </c>
      <c r="I10" s="21" t="s">
        <v>17</v>
      </c>
      <c r="J10" s="22"/>
      <c r="K10" s="22"/>
      <c r="L10" s="24"/>
      <c r="M10" s="24"/>
      <c r="N10" s="6"/>
      <c r="O10" s="23" t="s">
        <v>47</v>
      </c>
      <c r="P10" s="18">
        <v>53</v>
      </c>
      <c r="Q10" s="18">
        <v>45</v>
      </c>
      <c r="R10" s="18" t="s">
        <v>37</v>
      </c>
      <c r="S10" s="18" t="s">
        <v>37</v>
      </c>
      <c r="T10" s="18">
        <v>43</v>
      </c>
      <c r="U10" s="18">
        <v>59</v>
      </c>
      <c r="V10" s="18">
        <v>40</v>
      </c>
      <c r="W10" s="18">
        <v>41</v>
      </c>
      <c r="X10" s="24"/>
      <c r="Y10" s="24"/>
      <c r="Z10" s="24"/>
      <c r="AA10" s="24"/>
      <c r="AB10" s="10"/>
      <c r="AC10" s="2" t="s">
        <v>48</v>
      </c>
      <c r="AD10" s="3">
        <f>SUM(AD3:AD7)</f>
        <v>48</v>
      </c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2"/>
      <c r="Q11" s="2"/>
      <c r="R11" s="2"/>
      <c r="S11" s="2"/>
      <c r="T11" s="2"/>
      <c r="U11" s="2"/>
      <c r="V11" s="2"/>
      <c r="W11" s="2"/>
      <c r="X11" s="3"/>
      <c r="Y11" s="3"/>
      <c r="Z11" s="3"/>
      <c r="AA11" s="3"/>
      <c r="AB11" s="3"/>
      <c r="AC11" s="3"/>
      <c r="AE11" s="3"/>
      <c r="AF11" s="3"/>
      <c r="AG11" s="3"/>
      <c r="AH11" s="3"/>
    </row>
    <row r="13" spans="1:34" ht="15" customHeight="1">
      <c r="A13" s="203" t="s">
        <v>705</v>
      </c>
    </row>
  </sheetData>
  <conditionalFormatting sqref="P3:AA10">
    <cfRule type="cellIs" dxfId="109" priority="1" operator="equal">
      <formula>"u"</formula>
    </cfRule>
  </conditionalFormatting>
  <conditionalFormatting sqref="P3:AA10">
    <cfRule type="cellIs" dxfId="108" priority="2" operator="equal">
      <formula>"N"</formula>
    </cfRule>
  </conditionalFormatting>
  <conditionalFormatting sqref="P3:AA10">
    <cfRule type="cellIs" dxfId="107" priority="3" operator="equal">
      <formula>"?"</formula>
    </cfRule>
  </conditionalFormatting>
  <conditionalFormatting sqref="P3:AA10">
    <cfRule type="cellIs" dxfId="106" priority="4" operator="equal">
      <formula>"X"</formula>
    </cfRule>
  </conditionalFormatting>
  <conditionalFormatting sqref="P3:AA10">
    <cfRule type="cellIs" dxfId="105" priority="5" operator="equal">
      <formula>0</formula>
    </cfRule>
  </conditionalFormatting>
  <conditionalFormatting sqref="B3:M10">
    <cfRule type="endsWith" dxfId="104" priority="6" operator="endsWith" text="?">
      <formula>RIGHT((B3),LEN("?"))=("?")</formula>
    </cfRule>
  </conditionalFormatting>
  <conditionalFormatting sqref="B3:M10 P3:AA10">
    <cfRule type="notContainsBlanks" dxfId="103" priority="7">
      <formula>LEN(TRIM(B3))&gt;0</formula>
    </cfRule>
  </conditionalFormatting>
  <conditionalFormatting sqref="B3:M10">
    <cfRule type="containsBlanks" dxfId="102" priority="8">
      <formula>LEN(TRIM(B3))=0</formula>
    </cfRule>
  </conditionalFormatting>
  <conditionalFormatting sqref="P3">
    <cfRule type="notContainsBlanks" dxfId="101" priority="9">
      <formula>LEN(TRIM(P3))&gt;0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H18"/>
  <sheetViews>
    <sheetView workbookViewId="0">
      <selection activeCell="A13" sqref="A13"/>
    </sheetView>
  </sheetViews>
  <sheetFormatPr baseColWidth="10" defaultColWidth="11.1640625" defaultRowHeight="15" customHeight="1"/>
  <cols>
    <col min="1" max="13" width="7" customWidth="1"/>
    <col min="15" max="27" width="7.1640625" customWidth="1"/>
  </cols>
  <sheetData>
    <row r="1" spans="1:34">
      <c r="A1" s="2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61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/>
      <c r="C3" s="20"/>
      <c r="D3" s="21"/>
      <c r="E3" s="18"/>
      <c r="F3" s="18"/>
      <c r="G3" s="18"/>
      <c r="H3" s="18"/>
      <c r="I3" s="21"/>
      <c r="J3" s="22"/>
      <c r="K3" s="22"/>
      <c r="L3" s="22"/>
      <c r="M3" s="22"/>
      <c r="N3" s="6"/>
      <c r="O3" s="23" t="s">
        <v>14</v>
      </c>
      <c r="P3" s="18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0</v>
      </c>
      <c r="AE3" s="27">
        <f>COUNTIFS(P3:AA10,"&gt;0",P3:AA10,"&lt;51",B3:M10,"=i",B3:M10,"=i - SEM")</f>
        <v>0</v>
      </c>
      <c r="AF3" s="28">
        <f>COUNTIFS(P3:AA10,"&gt;0",P3:AA10,"&lt;51",B3:M10,"=s")</f>
        <v>0</v>
      </c>
      <c r="AG3" s="30">
        <f>COUNTIFS(P3:AA10,"&gt;0",P3:AA10,"&lt;51",B3:M10,"=g")</f>
        <v>0</v>
      </c>
      <c r="AH3" s="10"/>
    </row>
    <row r="4" spans="1:34">
      <c r="A4" s="16" t="s">
        <v>32</v>
      </c>
      <c r="B4" s="18" t="s">
        <v>63</v>
      </c>
      <c r="C4" s="18"/>
      <c r="D4" s="18"/>
      <c r="E4" s="18"/>
      <c r="F4" s="18"/>
      <c r="G4" s="24"/>
      <c r="H4" s="18"/>
      <c r="I4" s="21"/>
      <c r="J4" s="21"/>
      <c r="K4" s="22"/>
      <c r="L4" s="22"/>
      <c r="M4" s="22"/>
      <c r="N4" s="6"/>
      <c r="O4" s="23" t="s">
        <v>32</v>
      </c>
      <c r="P4" s="18">
        <v>498.75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0</v>
      </c>
      <c r="AE4" s="27">
        <f>COUNTIFS(P4:AA11,"&gt;50",P4:AA11,"&lt;126",B3:M10,"=i",B3:M10,"=i - SEM")</f>
        <v>0</v>
      </c>
      <c r="AF4" s="28">
        <f>COUNTIFS(P4:AA11,"&gt;50",P4:AA11,"&lt;126",B4:M11,"=s")</f>
        <v>0</v>
      </c>
      <c r="AG4" s="30">
        <f>COUNTIFS(P4:AA11,"&gt;50",P4:AA11,"&lt;126",B4:M11,"=g")</f>
        <v>0</v>
      </c>
      <c r="AH4" s="10"/>
    </row>
    <row r="5" spans="1:34">
      <c r="A5" s="16" t="s">
        <v>34</v>
      </c>
      <c r="B5" s="18" t="s">
        <v>63</v>
      </c>
      <c r="C5" s="18"/>
      <c r="D5" s="18"/>
      <c r="E5" s="18"/>
      <c r="F5" s="18"/>
      <c r="G5" s="18"/>
      <c r="H5" s="18"/>
      <c r="I5" s="21"/>
      <c r="J5" s="21"/>
      <c r="K5" s="22"/>
      <c r="L5" s="22"/>
      <c r="M5" s="22"/>
      <c r="N5" s="6"/>
      <c r="O5" s="23" t="s">
        <v>34</v>
      </c>
      <c r="P5" s="18">
        <v>535.096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0</v>
      </c>
      <c r="AE5" s="27">
        <f>COUNTIFS(P5:AA12,"&gt;125",P5:AA12,"&lt;251",B3:M10,"=i",B3:M10,"=i - SEM")</f>
        <v>0</v>
      </c>
      <c r="AF5" s="28">
        <f>COUNTIFS(P5:AA12,"&gt;125",P5:AA12,"&lt;251",B5:M12,"=s")</f>
        <v>0</v>
      </c>
      <c r="AG5" s="30">
        <f>COUNTIFS(P5:AA12,"&gt;125",P5:AA12,"&lt;251",B5:M12,"=g")</f>
        <v>0</v>
      </c>
      <c r="AH5" s="10"/>
    </row>
    <row r="6" spans="1:34">
      <c r="A6" s="16" t="s">
        <v>38</v>
      </c>
      <c r="B6" s="18"/>
      <c r="C6" s="18"/>
      <c r="D6" s="18"/>
      <c r="E6" s="18"/>
      <c r="F6" s="18"/>
      <c r="G6" s="18"/>
      <c r="H6" s="21"/>
      <c r="I6" s="21"/>
      <c r="J6" s="21"/>
      <c r="K6" s="22"/>
      <c r="L6" s="22"/>
      <c r="M6" s="22"/>
      <c r="N6" s="6"/>
      <c r="O6" s="23" t="s">
        <v>38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1</v>
      </c>
      <c r="AE6" s="27">
        <f>(COUNTIFS(P3:AA10,"&gt;250",P3:AA10,"&lt;501",B3:M10,"i")+COUNTIFS(P3:AA10,"&gt;250",P3:AA10,"&lt;501",B3:M10,"i - SEM"))</f>
        <v>1</v>
      </c>
      <c r="AF6" s="28">
        <f>COUNTIFS(P6:AA13,"&gt;250",P6:AA13,"&lt;501",B6:M13,"=s")</f>
        <v>0</v>
      </c>
      <c r="AG6" s="30">
        <f>COUNTIFS(P6:AA13,"&gt;250",P6:AA13,"&lt;501",B6:M13,"=g")</f>
        <v>0</v>
      </c>
      <c r="AH6" s="10"/>
    </row>
    <row r="7" spans="1:34">
      <c r="A7" s="16" t="s">
        <v>40</v>
      </c>
      <c r="B7" s="18"/>
      <c r="C7" s="21"/>
      <c r="D7" s="18"/>
      <c r="E7" s="18"/>
      <c r="F7" s="18"/>
      <c r="G7" s="21"/>
      <c r="H7" s="21"/>
      <c r="I7" s="21"/>
      <c r="J7" s="21"/>
      <c r="K7" s="22"/>
      <c r="L7" s="22"/>
      <c r="M7" s="22"/>
      <c r="N7" s="6"/>
      <c r="O7" s="23" t="s">
        <v>40</v>
      </c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1</v>
      </c>
      <c r="AE7" s="27">
        <f>(COUNTIFS(P3:AA10,"&gt;500",B3:M10,"=i")+COUNTIFS(P3:AA10,"&gt;500",B3:M10,"=i - SEM"))</f>
        <v>1</v>
      </c>
      <c r="AF7" s="28">
        <f>COUNTIFS(P7:AA14,"&gt;500",B7:M14,"=s")</f>
        <v>0</v>
      </c>
      <c r="AG7" s="30">
        <f>COUNTIFS(P7:AA14,"&gt;500",B7:M14,"=g")</f>
        <v>0</v>
      </c>
      <c r="AH7" s="10"/>
    </row>
    <row r="8" spans="1:34">
      <c r="A8" s="16" t="s">
        <v>42</v>
      </c>
      <c r="B8" s="18"/>
      <c r="C8" s="21"/>
      <c r="D8" s="18"/>
      <c r="E8" s="18"/>
      <c r="F8" s="18"/>
      <c r="G8" s="21"/>
      <c r="H8" s="21"/>
      <c r="I8" s="21"/>
      <c r="J8" s="21"/>
      <c r="K8" s="22"/>
      <c r="L8" s="22"/>
      <c r="M8" s="22"/>
      <c r="N8" s="6"/>
      <c r="O8" s="23" t="s">
        <v>42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10"/>
      <c r="AC8" s="10"/>
      <c r="AD8" s="10"/>
      <c r="AE8" s="10"/>
      <c r="AF8" s="10"/>
      <c r="AG8" s="10"/>
      <c r="AH8" s="10"/>
    </row>
    <row r="9" spans="1:34">
      <c r="A9" s="16" t="s">
        <v>43</v>
      </c>
      <c r="B9" s="18"/>
      <c r="C9" s="18"/>
      <c r="D9" s="18"/>
      <c r="E9" s="18"/>
      <c r="F9" s="18"/>
      <c r="G9" s="18"/>
      <c r="H9" s="21"/>
      <c r="I9" s="21"/>
      <c r="J9" s="21"/>
      <c r="K9" s="22"/>
      <c r="L9" s="22"/>
      <c r="M9" s="22"/>
      <c r="N9" s="6"/>
      <c r="O9" s="23" t="s">
        <v>43</v>
      </c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/>
      <c r="C10" s="18"/>
      <c r="D10" s="18"/>
      <c r="E10" s="18"/>
      <c r="F10" s="18"/>
      <c r="G10" s="18"/>
      <c r="H10" s="21"/>
      <c r="I10" s="21"/>
      <c r="J10" s="22"/>
      <c r="K10" s="22"/>
      <c r="L10" s="24"/>
      <c r="M10" s="24"/>
      <c r="N10" s="6"/>
      <c r="O10" s="23" t="s">
        <v>47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2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11" t="s">
        <v>9</v>
      </c>
      <c r="AD12" s="12" t="s">
        <v>10</v>
      </c>
      <c r="AE12" s="13" t="s">
        <v>11</v>
      </c>
      <c r="AF12" s="13" t="s">
        <v>12</v>
      </c>
      <c r="AG12" s="13" t="s">
        <v>13</v>
      </c>
      <c r="AH12" s="3"/>
    </row>
    <row r="13" spans="1:34">
      <c r="A13" s="203" t="s">
        <v>705</v>
      </c>
      <c r="Q13" s="29"/>
      <c r="AC13" s="25" t="s">
        <v>21</v>
      </c>
      <c r="AD13" s="39">
        <f t="shared" ref="AD13:AG13" si="0">SUM(AD3)</f>
        <v>0</v>
      </c>
      <c r="AE13" s="40">
        <f t="shared" si="0"/>
        <v>0</v>
      </c>
      <c r="AF13" s="41">
        <f t="shared" si="0"/>
        <v>0</v>
      </c>
      <c r="AG13" s="42">
        <f t="shared" si="0"/>
        <v>0</v>
      </c>
    </row>
    <row r="14" spans="1:34">
      <c r="AC14" s="25" t="s">
        <v>33</v>
      </c>
      <c r="AD14" s="39">
        <f t="shared" ref="AD14:AG14" si="1">SUM(AD4)</f>
        <v>0</v>
      </c>
      <c r="AE14" s="40">
        <f t="shared" si="1"/>
        <v>0</v>
      </c>
      <c r="AF14" s="41">
        <f t="shared" si="1"/>
        <v>0</v>
      </c>
      <c r="AG14" s="42">
        <f t="shared" si="1"/>
        <v>0</v>
      </c>
    </row>
    <row r="15" spans="1:34">
      <c r="AC15" s="25" t="s">
        <v>36</v>
      </c>
      <c r="AD15" s="39">
        <f t="shared" ref="AD15:AG15" si="2">SUM(AD5)</f>
        <v>0</v>
      </c>
      <c r="AE15" s="40">
        <f t="shared" si="2"/>
        <v>0</v>
      </c>
      <c r="AF15" s="41">
        <f t="shared" si="2"/>
        <v>0</v>
      </c>
      <c r="AG15" s="42">
        <f t="shared" si="2"/>
        <v>0</v>
      </c>
    </row>
    <row r="16" spans="1:34">
      <c r="AC16" s="25" t="s">
        <v>39</v>
      </c>
      <c r="AD16" s="39">
        <f t="shared" ref="AD16:AD17" si="3">SUM(AD6)</f>
        <v>1</v>
      </c>
      <c r="AE16" s="40">
        <f>SUM(AE7)</f>
        <v>1</v>
      </c>
      <c r="AF16" s="41">
        <f t="shared" ref="AF16:AG16" si="4">SUM(AF6)</f>
        <v>0</v>
      </c>
      <c r="AG16" s="42">
        <f t="shared" si="4"/>
        <v>0</v>
      </c>
    </row>
    <row r="17" spans="29:33">
      <c r="AC17" s="25" t="s">
        <v>41</v>
      </c>
      <c r="AD17" s="39">
        <f t="shared" si="3"/>
        <v>1</v>
      </c>
      <c r="AE17" s="40">
        <f t="shared" ref="AE17:AG17" si="5">SUM(AE7)</f>
        <v>1</v>
      </c>
      <c r="AF17" s="41">
        <f t="shared" si="5"/>
        <v>0</v>
      </c>
      <c r="AG17" s="42">
        <f t="shared" si="5"/>
        <v>0</v>
      </c>
    </row>
    <row r="18" spans="29:33">
      <c r="AG18" s="44"/>
    </row>
  </sheetData>
  <conditionalFormatting sqref="P3:AA10">
    <cfRule type="cellIs" dxfId="100" priority="1" operator="equal">
      <formula>"u"</formula>
    </cfRule>
  </conditionalFormatting>
  <conditionalFormatting sqref="P3:AA10">
    <cfRule type="cellIs" dxfId="99" priority="2" operator="equal">
      <formula>"N"</formula>
    </cfRule>
  </conditionalFormatting>
  <conditionalFormatting sqref="P3:AA10">
    <cfRule type="cellIs" dxfId="98" priority="3" operator="equal">
      <formula>"?"</formula>
    </cfRule>
  </conditionalFormatting>
  <conditionalFormatting sqref="P3:AA10">
    <cfRule type="cellIs" dxfId="97" priority="4" operator="equal">
      <formula>"X"</formula>
    </cfRule>
  </conditionalFormatting>
  <conditionalFormatting sqref="P3:AA10">
    <cfRule type="cellIs" dxfId="96" priority="5" operator="equal">
      <formula>0</formula>
    </cfRule>
  </conditionalFormatting>
  <conditionalFormatting sqref="B3:M10">
    <cfRule type="endsWith" dxfId="95" priority="6" operator="endsWith" text="?">
      <formula>RIGHT((B3),LEN("?"))=("?")</formula>
    </cfRule>
  </conditionalFormatting>
  <conditionalFormatting sqref="B3:M10">
    <cfRule type="endsWith" dxfId="94" priority="7" operator="endsWith" text="SEM">
      <formula>RIGHT((B3),LEN("SEM"))=("SEM")</formula>
    </cfRule>
  </conditionalFormatting>
  <conditionalFormatting sqref="B3:M10 P3:AA10">
    <cfRule type="notContainsBlanks" dxfId="93" priority="8">
      <formula>LEN(TRIM(B3))&gt;0</formula>
    </cfRule>
  </conditionalFormatting>
  <conditionalFormatting sqref="B3:M10">
    <cfRule type="containsBlanks" dxfId="92" priority="9">
      <formula>LEN(TRIM(B3))=0</formula>
    </cfRule>
  </conditionalFormatting>
  <conditionalFormatting sqref="P3">
    <cfRule type="notContainsBlanks" dxfId="91" priority="10">
      <formula>LEN(TRIM(P3))&gt;0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H75"/>
  <sheetViews>
    <sheetView topLeftCell="A33" workbookViewId="0">
      <selection activeCell="C9" sqref="C9"/>
    </sheetView>
  </sheetViews>
  <sheetFormatPr baseColWidth="10" defaultColWidth="11.1640625" defaultRowHeight="15" customHeight="1"/>
  <cols>
    <col min="1" max="13" width="7" customWidth="1"/>
    <col min="15" max="27" width="7.1640625" customWidth="1"/>
  </cols>
  <sheetData>
    <row r="1" spans="1:34">
      <c r="A1" s="2" t="s">
        <v>61</v>
      </c>
      <c r="B1" s="2" t="s">
        <v>62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 t="s">
        <v>61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4" t="s">
        <v>3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/>
      <c r="O2" s="7" t="s">
        <v>8</v>
      </c>
      <c r="P2" s="8">
        <v>1</v>
      </c>
      <c r="Q2" s="8">
        <v>2</v>
      </c>
      <c r="R2" s="8">
        <v>3</v>
      </c>
      <c r="S2" s="8">
        <v>4</v>
      </c>
      <c r="T2" s="8">
        <v>5</v>
      </c>
      <c r="U2" s="8">
        <v>6</v>
      </c>
      <c r="V2" s="8">
        <v>7</v>
      </c>
      <c r="W2" s="8">
        <v>8</v>
      </c>
      <c r="X2" s="8">
        <v>9</v>
      </c>
      <c r="Y2" s="8">
        <v>10</v>
      </c>
      <c r="Z2" s="8">
        <v>11</v>
      </c>
      <c r="AA2" s="8">
        <v>12</v>
      </c>
      <c r="AB2" s="10"/>
      <c r="AC2" s="11" t="s">
        <v>9</v>
      </c>
      <c r="AD2" s="12" t="s">
        <v>10</v>
      </c>
      <c r="AE2" s="13" t="s">
        <v>11</v>
      </c>
      <c r="AF2" s="13" t="s">
        <v>12</v>
      </c>
      <c r="AG2" s="13" t="s">
        <v>13</v>
      </c>
      <c r="AH2" s="14"/>
    </row>
    <row r="3" spans="1:34">
      <c r="A3" s="16" t="s">
        <v>14</v>
      </c>
      <c r="B3" s="18"/>
      <c r="C3" s="20" t="s">
        <v>17</v>
      </c>
      <c r="D3" s="21" t="s">
        <v>18</v>
      </c>
      <c r="E3" s="18" t="s">
        <v>17</v>
      </c>
      <c r="F3" s="18" t="s">
        <v>63</v>
      </c>
      <c r="G3" s="18" t="s">
        <v>17</v>
      </c>
      <c r="H3" s="18"/>
      <c r="I3" s="21"/>
      <c r="J3" s="22"/>
      <c r="K3" s="22"/>
      <c r="L3" s="22"/>
      <c r="M3" s="22"/>
      <c r="N3" s="6"/>
      <c r="O3" s="23" t="s">
        <v>14</v>
      </c>
      <c r="P3" s="18"/>
      <c r="Q3" s="18">
        <v>37</v>
      </c>
      <c r="R3" s="18">
        <v>141</v>
      </c>
      <c r="S3" s="36">
        <v>57</v>
      </c>
      <c r="T3" s="18">
        <v>156</v>
      </c>
      <c r="U3" s="37">
        <v>54</v>
      </c>
      <c r="V3" s="24"/>
      <c r="W3" s="24"/>
      <c r="X3" s="24"/>
      <c r="Y3" s="24"/>
      <c r="Z3" s="24"/>
      <c r="AA3" s="24"/>
      <c r="AB3" s="10"/>
      <c r="AC3" s="25" t="s">
        <v>21</v>
      </c>
      <c r="AD3" s="26">
        <f>COUNTIFS(P3:AA10,"&gt;0",P3:AA10,"&lt;51")</f>
        <v>12</v>
      </c>
      <c r="AE3" s="27">
        <f>(COUNTIFS(P3:AA10,"&gt;0",P3:AA10,"&lt;51",B3:M10,"=i")+COUNTIFS(P3:AA10,"&gt;0",P3:AA10,"&lt;51",B3:M10,"=i - SEM"))</f>
        <v>7</v>
      </c>
      <c r="AF3" s="38">
        <f>(COUNTIFS(P3:AA10,"&gt;0",P3:AA10,"&lt;51",B3:M10,"=s")+COUNTIFS(P3:AA10,"&gt;0",P3:AA10,"&lt;51",B3:M10,"=s - SEM"))</f>
        <v>0</v>
      </c>
      <c r="AG3" s="30">
        <f>(COUNTIFS(P3:AA10,"&gt;0",P3:AA10,"&lt;51",B3:M10,"=g")+COUNTIFS(P3:AA10,"&gt;0",P3:AA10,"&lt;51",B3:M10,"=g - SEM"))</f>
        <v>0</v>
      </c>
      <c r="AH3" s="10"/>
    </row>
    <row r="4" spans="1:34">
      <c r="A4" s="16" t="s">
        <v>32</v>
      </c>
      <c r="B4" s="18"/>
      <c r="C4" s="18" t="s">
        <v>63</v>
      </c>
      <c r="D4" s="18" t="s">
        <v>17</v>
      </c>
      <c r="E4" s="18" t="s">
        <v>35</v>
      </c>
      <c r="F4" s="18" t="s">
        <v>17</v>
      </c>
      <c r="G4" s="18" t="s">
        <v>17</v>
      </c>
      <c r="H4" s="18"/>
      <c r="I4" s="21"/>
      <c r="J4" s="21"/>
      <c r="K4" s="22"/>
      <c r="L4" s="22"/>
      <c r="M4" s="22"/>
      <c r="N4" s="6"/>
      <c r="O4" s="23" t="s">
        <v>32</v>
      </c>
      <c r="P4" s="18"/>
      <c r="Q4" s="18">
        <v>185</v>
      </c>
      <c r="R4" s="18">
        <v>57</v>
      </c>
      <c r="S4" s="37" t="s">
        <v>67</v>
      </c>
      <c r="T4" s="37">
        <v>71</v>
      </c>
      <c r="U4" s="37">
        <v>40</v>
      </c>
      <c r="V4" s="24"/>
      <c r="W4" s="24"/>
      <c r="X4" s="24"/>
      <c r="Y4" s="24"/>
      <c r="Z4" s="24"/>
      <c r="AA4" s="24"/>
      <c r="AB4" s="10"/>
      <c r="AC4" s="25" t="s">
        <v>33</v>
      </c>
      <c r="AD4" s="31">
        <f>COUNTIFS(P3:AA10,"&gt;50",P3:AA10,"&lt;126")</f>
        <v>13</v>
      </c>
      <c r="AE4" s="27">
        <f>(COUNTIFS(P3:AA10,"&gt;50",P3:AA10,"&lt;126",B3:M10,"=i")+COUNTIFS(P3:AA10,"&gt;50",P3:AA10,"&lt;126",B3:M10,"=i - SEM"))</f>
        <v>12</v>
      </c>
      <c r="AF4" s="28">
        <f>(COUNTIFS(P3:AA10,"&gt;50",P3:AA10,"&lt;126",B3:M10,"=s")+COUNTIFS(P3:AA10,"&gt;50",P3:AA10,"&lt;126",B3:M10,"=s - SEM"))</f>
        <v>1</v>
      </c>
      <c r="AG4" s="30">
        <f>(COUNTIFS(P3:AA10,"&gt;50",P3:AA10,"&lt;126",B3:M10,"=g")+COUNTIFS(P3:AA10,"&gt;50",P3:AA10,"&lt;126",B3:M10,"=g - SEM"))</f>
        <v>0</v>
      </c>
      <c r="AH4" s="10"/>
    </row>
    <row r="5" spans="1:34">
      <c r="A5" s="16" t="s">
        <v>34</v>
      </c>
      <c r="B5" s="18"/>
      <c r="C5" s="18" t="s">
        <v>18</v>
      </c>
      <c r="D5" s="18" t="s">
        <v>17</v>
      </c>
      <c r="E5" s="18" t="s">
        <v>35</v>
      </c>
      <c r="F5" s="18" t="s">
        <v>17</v>
      </c>
      <c r="G5" s="18" t="s">
        <v>17</v>
      </c>
      <c r="H5" s="18"/>
      <c r="I5" s="21"/>
      <c r="J5" s="21"/>
      <c r="K5" s="22"/>
      <c r="L5" s="22"/>
      <c r="M5" s="22"/>
      <c r="N5" s="6"/>
      <c r="O5" s="23" t="s">
        <v>34</v>
      </c>
      <c r="P5" s="18"/>
      <c r="Q5" s="18">
        <v>56</v>
      </c>
      <c r="R5" s="18">
        <v>20</v>
      </c>
      <c r="S5" s="37">
        <v>43</v>
      </c>
      <c r="T5" s="37">
        <v>56</v>
      </c>
      <c r="U5" s="36">
        <v>129</v>
      </c>
      <c r="V5" s="24"/>
      <c r="W5" s="24"/>
      <c r="X5" s="24"/>
      <c r="Y5" s="24"/>
      <c r="Z5" s="24"/>
      <c r="AA5" s="24"/>
      <c r="AB5" s="10"/>
      <c r="AC5" s="25" t="s">
        <v>36</v>
      </c>
      <c r="AD5" s="31">
        <f>COUNTIFS(P3:AA10,"&gt;125",P3:AA10,"&lt;251")</f>
        <v>8</v>
      </c>
      <c r="AE5" s="27">
        <f>(COUNTIFS(P3:AA10,"&gt;125",P3:AA10,"&lt;251",B3:M10,"=i")+COUNTIFS(P3:AA10,"&gt;125",P3:AA10,"&lt;251",B3:M10,"=i - SEM"))</f>
        <v>3</v>
      </c>
      <c r="AF5" s="28">
        <f>(COUNTIFS(P3:AA10,"&gt;125",P3:AA10,"&lt;251",B3:M10,"=s")+COUNTIFS(P3:AA10,"&gt;125",P3:AA10,"&lt;251",B3:M10,"=s - SEM"))</f>
        <v>4</v>
      </c>
      <c r="AG5" s="30">
        <f>COUNTIFS(P5:AA11,"&gt;125",P5:AA11,"&lt;251",B5:M11,"=g")</f>
        <v>1</v>
      </c>
      <c r="AH5" s="10"/>
    </row>
    <row r="6" spans="1:34">
      <c r="A6" s="16" t="s">
        <v>38</v>
      </c>
      <c r="B6" s="18"/>
      <c r="C6" s="18" t="s">
        <v>53</v>
      </c>
      <c r="D6" s="18" t="s">
        <v>17</v>
      </c>
      <c r="E6" s="18" t="s">
        <v>35</v>
      </c>
      <c r="F6" s="18" t="s">
        <v>17</v>
      </c>
      <c r="G6" s="18" t="s">
        <v>63</v>
      </c>
      <c r="H6" s="21"/>
      <c r="I6" s="21"/>
      <c r="J6" s="21"/>
      <c r="K6" s="22"/>
      <c r="L6" s="22"/>
      <c r="M6" s="22"/>
      <c r="N6" s="6"/>
      <c r="O6" s="23" t="s">
        <v>38</v>
      </c>
      <c r="P6" s="24"/>
      <c r="Q6" s="18">
        <v>130</v>
      </c>
      <c r="R6" s="18">
        <v>56</v>
      </c>
      <c r="S6" s="37">
        <v>42</v>
      </c>
      <c r="T6" s="37">
        <v>38</v>
      </c>
      <c r="U6" s="36">
        <v>378.51600000000002</v>
      </c>
      <c r="V6" s="24"/>
      <c r="W6" s="24"/>
      <c r="X6" s="24"/>
      <c r="Y6" s="24"/>
      <c r="Z6" s="24"/>
      <c r="AA6" s="24"/>
      <c r="AB6" s="10"/>
      <c r="AC6" s="25" t="s">
        <v>39</v>
      </c>
      <c r="AD6" s="31">
        <f>COUNTIFS(P3:AA10,"&gt;250",P3:AA10,"&lt;501")</f>
        <v>2</v>
      </c>
      <c r="AE6" s="27">
        <f>(COUNTIFS(P3:AA10,"&gt;250",P3:AA10,"&lt;501",B3:M10,"=i")+COUNTIFS(P3:AA10,"&gt;250",P3:AA10,"&lt;501",B3:M10,"=i - SEM"))</f>
        <v>2</v>
      </c>
      <c r="AF6" s="28">
        <f>(COUNTIFS(P3:AA10,"&gt;250",P3:AA10,"&lt;501",B3:M10,"=s")+COUNTIFS(P3:AA10,"&gt;250",P3:AA10,"&lt;501",B3:M10,"=s - SEM"))</f>
        <v>0</v>
      </c>
      <c r="AG6" s="30">
        <f>(COUNTIFS(P3:AA10,"&gt;250",P3:AA10,"&lt;501",B3:M10,"=s")+COUNTIFS(P3:AA10,"&gt;250",P3:AA10,"&lt;501",B3:M10,"=s - SEM"))</f>
        <v>0</v>
      </c>
      <c r="AH6" s="10"/>
    </row>
    <row r="7" spans="1:34">
      <c r="A7" s="16" t="s">
        <v>40</v>
      </c>
      <c r="B7" s="18"/>
      <c r="C7" s="21" t="s">
        <v>66</v>
      </c>
      <c r="D7" s="18" t="s">
        <v>17</v>
      </c>
      <c r="E7" s="18" t="s">
        <v>35</v>
      </c>
      <c r="F7" s="18" t="s">
        <v>17</v>
      </c>
      <c r="G7" s="21" t="s">
        <v>17</v>
      </c>
      <c r="H7" s="21"/>
      <c r="I7" s="21"/>
      <c r="J7" s="21"/>
      <c r="K7" s="22"/>
      <c r="L7" s="22"/>
      <c r="M7" s="22"/>
      <c r="N7" s="6"/>
      <c r="O7" s="23" t="s">
        <v>40</v>
      </c>
      <c r="P7" s="24"/>
      <c r="Q7" s="18">
        <v>157</v>
      </c>
      <c r="R7" s="18">
        <v>33</v>
      </c>
      <c r="S7" s="37">
        <v>42</v>
      </c>
      <c r="T7" s="37">
        <v>50</v>
      </c>
      <c r="U7" s="36">
        <v>262</v>
      </c>
      <c r="V7" s="24"/>
      <c r="W7" s="24"/>
      <c r="X7" s="24"/>
      <c r="Y7" s="24"/>
      <c r="Z7" s="24"/>
      <c r="AA7" s="24"/>
      <c r="AB7" s="10"/>
      <c r="AC7" s="25" t="s">
        <v>41</v>
      </c>
      <c r="AD7" s="31">
        <f>COUNTIF(P3:AA10,"&gt;500")</f>
        <v>0</v>
      </c>
      <c r="AE7" s="27">
        <f>COUNTIFS(P3:AA10,"&gt;500",B3:M10,"=i")</f>
        <v>0</v>
      </c>
      <c r="AF7" s="28">
        <f>COUNTIFS(P3:AA10,"&gt;500",B3:M10,"=s")</f>
        <v>0</v>
      </c>
      <c r="AG7" s="30">
        <f>COUNTIFS(P3:AA10,"&gt;500",B3:M10,"=g")</f>
        <v>0</v>
      </c>
      <c r="AH7" s="10"/>
    </row>
    <row r="8" spans="1:34">
      <c r="A8" s="16" t="s">
        <v>42</v>
      </c>
      <c r="B8" s="18"/>
      <c r="C8" s="21" t="s">
        <v>66</v>
      </c>
      <c r="D8" s="18" t="s">
        <v>17</v>
      </c>
      <c r="E8" s="18"/>
      <c r="F8" s="18" t="s">
        <v>17</v>
      </c>
      <c r="G8" s="21" t="s">
        <v>17</v>
      </c>
      <c r="H8" s="21"/>
      <c r="I8" s="21"/>
      <c r="J8" s="21"/>
      <c r="K8" s="22"/>
      <c r="L8" s="22"/>
      <c r="M8" s="22"/>
      <c r="N8" s="6"/>
      <c r="O8" s="23" t="s">
        <v>42</v>
      </c>
      <c r="P8" s="24"/>
      <c r="Q8" s="18">
        <v>193</v>
      </c>
      <c r="R8" s="18">
        <v>51</v>
      </c>
      <c r="S8" s="43"/>
      <c r="T8" s="37">
        <v>46</v>
      </c>
      <c r="U8" s="36">
        <v>113</v>
      </c>
      <c r="V8" s="24"/>
      <c r="W8" s="24"/>
      <c r="X8" s="24"/>
      <c r="Y8" s="24"/>
      <c r="Z8" s="24"/>
      <c r="AA8" s="24"/>
      <c r="AB8" s="10"/>
      <c r="AC8" s="10"/>
      <c r="AD8" s="10">
        <f>SUM(AD3:AD7)</f>
        <v>35</v>
      </c>
      <c r="AE8" s="10"/>
      <c r="AF8" s="10"/>
      <c r="AG8" s="10"/>
      <c r="AH8" s="10"/>
    </row>
    <row r="9" spans="1:34">
      <c r="A9" s="16" t="s">
        <v>43</v>
      </c>
      <c r="B9" s="18"/>
      <c r="C9" s="18" t="s">
        <v>66</v>
      </c>
      <c r="D9" s="18" t="s">
        <v>17</v>
      </c>
      <c r="E9" s="18" t="s">
        <v>35</v>
      </c>
      <c r="F9" s="18" t="s">
        <v>17</v>
      </c>
      <c r="G9" s="18" t="s">
        <v>17</v>
      </c>
      <c r="H9" s="21"/>
      <c r="I9" s="21"/>
      <c r="J9" s="21"/>
      <c r="K9" s="22"/>
      <c r="L9" s="22"/>
      <c r="M9" s="22"/>
      <c r="N9" s="6"/>
      <c r="O9" s="23" t="s">
        <v>43</v>
      </c>
      <c r="P9" s="24"/>
      <c r="Q9" s="18">
        <v>171</v>
      </c>
      <c r="R9" s="18">
        <v>54</v>
      </c>
      <c r="S9" s="37">
        <v>17</v>
      </c>
      <c r="T9" s="37">
        <v>68</v>
      </c>
      <c r="U9" s="36" t="s">
        <v>37</v>
      </c>
      <c r="V9" s="24"/>
      <c r="W9" s="24"/>
      <c r="X9" s="24"/>
      <c r="Y9" s="24"/>
      <c r="Z9" s="24"/>
      <c r="AA9" s="24"/>
      <c r="AB9" s="10"/>
      <c r="AC9" s="10"/>
      <c r="AD9" s="10"/>
      <c r="AE9" s="10"/>
      <c r="AF9" s="10"/>
      <c r="AG9" s="10"/>
      <c r="AH9" s="10"/>
    </row>
    <row r="10" spans="1:34">
      <c r="A10" s="16" t="s">
        <v>47</v>
      </c>
      <c r="B10" s="18"/>
      <c r="C10" s="18" t="s">
        <v>17</v>
      </c>
      <c r="D10" s="18" t="s">
        <v>35</v>
      </c>
      <c r="E10" s="18"/>
      <c r="F10" s="18" t="s">
        <v>17</v>
      </c>
      <c r="G10" s="18" t="s">
        <v>17</v>
      </c>
      <c r="H10" s="21"/>
      <c r="I10" s="21"/>
      <c r="J10" s="22"/>
      <c r="K10" s="22"/>
      <c r="L10" s="24"/>
      <c r="M10" s="24"/>
      <c r="N10" s="6"/>
      <c r="O10" s="23" t="s">
        <v>47</v>
      </c>
      <c r="P10" s="24"/>
      <c r="Q10" s="18">
        <v>57</v>
      </c>
      <c r="R10" s="18">
        <v>26</v>
      </c>
      <c r="S10" s="18"/>
      <c r="T10" s="37">
        <v>53</v>
      </c>
      <c r="U10" s="36" t="s">
        <v>37</v>
      </c>
      <c r="V10" s="24"/>
      <c r="W10" s="24"/>
      <c r="X10" s="24"/>
      <c r="Y10" s="24"/>
      <c r="Z10" s="24"/>
      <c r="AA10" s="24"/>
      <c r="AB10" s="10"/>
      <c r="AC10" s="10"/>
      <c r="AD10" s="10"/>
      <c r="AE10" s="10"/>
      <c r="AF10" s="10"/>
      <c r="AG10" s="10"/>
      <c r="AH10" s="10"/>
    </row>
    <row r="11" spans="1:34">
      <c r="A11" s="3"/>
      <c r="B11" s="3"/>
      <c r="C11" s="3"/>
      <c r="D11" s="3"/>
      <c r="E11" s="3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2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2" t="s">
        <v>72</v>
      </c>
      <c r="B12" s="2" t="s">
        <v>65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 t="s">
        <v>72</v>
      </c>
      <c r="P12" s="3"/>
      <c r="Q12" s="3"/>
      <c r="R12" s="3"/>
      <c r="S12" s="3"/>
      <c r="T12" s="45"/>
      <c r="U12" s="3"/>
      <c r="V12" s="3"/>
      <c r="W12" s="3"/>
      <c r="X12" s="3"/>
      <c r="Y12" s="3"/>
      <c r="Z12" s="3"/>
      <c r="AA12" s="3"/>
    </row>
    <row r="13" spans="1:34">
      <c r="A13" s="4" t="s">
        <v>3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6"/>
      <c r="O13" s="7" t="s">
        <v>8</v>
      </c>
      <c r="P13" s="8">
        <v>1</v>
      </c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  <c r="X13" s="8">
        <v>9</v>
      </c>
      <c r="Y13" s="8">
        <v>10</v>
      </c>
      <c r="Z13" s="8">
        <v>11</v>
      </c>
      <c r="AA13" s="8">
        <v>12</v>
      </c>
      <c r="AC13" s="11" t="s">
        <v>9</v>
      </c>
      <c r="AD13" s="12" t="s">
        <v>10</v>
      </c>
      <c r="AE13" s="13" t="s">
        <v>11</v>
      </c>
      <c r="AF13" s="13" t="s">
        <v>12</v>
      </c>
      <c r="AG13" s="13" t="s">
        <v>13</v>
      </c>
      <c r="AH13" s="14"/>
    </row>
    <row r="14" spans="1:34">
      <c r="A14" s="16" t="s">
        <v>14</v>
      </c>
      <c r="B14" s="18"/>
      <c r="C14" s="20" t="s">
        <v>17</v>
      </c>
      <c r="D14" s="21" t="s">
        <v>17</v>
      </c>
      <c r="E14" s="18" t="s">
        <v>63</v>
      </c>
      <c r="F14" s="18" t="s">
        <v>18</v>
      </c>
      <c r="G14" s="18" t="s">
        <v>66</v>
      </c>
      <c r="H14" s="18" t="s">
        <v>17</v>
      </c>
      <c r="I14" s="21" t="s">
        <v>18</v>
      </c>
      <c r="J14" s="21"/>
      <c r="K14" s="21" t="s">
        <v>17</v>
      </c>
      <c r="L14" s="21" t="s">
        <v>17</v>
      </c>
      <c r="M14" s="21" t="s">
        <v>17</v>
      </c>
      <c r="N14" s="6"/>
      <c r="O14" s="23" t="s">
        <v>14</v>
      </c>
      <c r="P14" s="46"/>
      <c r="Q14" s="18">
        <v>37</v>
      </c>
      <c r="R14" s="18">
        <v>38</v>
      </c>
      <c r="S14" s="18">
        <v>190</v>
      </c>
      <c r="T14" s="18">
        <v>98</v>
      </c>
      <c r="U14" s="18">
        <v>171</v>
      </c>
      <c r="V14" s="18">
        <v>46</v>
      </c>
      <c r="W14" s="46" t="s">
        <v>37</v>
      </c>
      <c r="X14" s="46"/>
      <c r="Y14" s="46">
        <v>22</v>
      </c>
      <c r="Z14" s="46" t="s">
        <v>37</v>
      </c>
      <c r="AA14" s="46" t="s">
        <v>37</v>
      </c>
      <c r="AC14" s="25" t="s">
        <v>21</v>
      </c>
      <c r="AD14" s="26">
        <f>COUNTIFS(P14:AA21,"&gt;0",P14:AA21,"&lt;51")</f>
        <v>28</v>
      </c>
      <c r="AE14" s="27">
        <f>(COUNTIFS(P14:AA21,"&gt;0",P14:AA21,"&lt;51",B14:M21,"=i")+COUNTIFS(P14:AA21,"&gt;0",P14:AA21,"&lt;51",B14:M21,"=i - SEM")+COUNTIFS(P14:AA21,"&gt;0",P14:AA21,"&lt;51",B14:M21,"i x 2 - SEM")+COUNTIFS(P14:AA21,"&gt;0",P14:AA21,"&lt;51",B14:M21,"2E 2 - i"))</f>
        <v>22</v>
      </c>
      <c r="AF14" s="28">
        <f>(COUNTIFS(P14:AA21,"&gt;0",P14:AA21,"&lt;51",B14:M21,"=s")+COUNTIFS(P14:AA21,"&gt;0",P14:AA21,"&lt;51",B14:M21,"=s - SEM"))</f>
        <v>4</v>
      </c>
      <c r="AG14" s="30">
        <f>(COUNTIFS(P14:AA21,"&gt;0",P14:AA21,"&lt;51",B14:M21,"=g")+COUNTIFS(P14:AA21,"&gt;0",P14:AA21,"&lt;51",B14:M21,"=g - SEM"))</f>
        <v>0</v>
      </c>
      <c r="AH14" s="10"/>
    </row>
    <row r="15" spans="1:34">
      <c r="A15" s="16" t="s">
        <v>32</v>
      </c>
      <c r="B15" s="18" t="s">
        <v>63</v>
      </c>
      <c r="C15" s="18" t="s">
        <v>17</v>
      </c>
      <c r="D15" s="18" t="s">
        <v>17</v>
      </c>
      <c r="E15" s="18"/>
      <c r="F15" s="18" t="s">
        <v>66</v>
      </c>
      <c r="G15" s="18"/>
      <c r="H15" s="18" t="s">
        <v>17</v>
      </c>
      <c r="I15" s="21" t="s">
        <v>17</v>
      </c>
      <c r="J15" s="21" t="s">
        <v>17</v>
      </c>
      <c r="K15" s="21" t="s">
        <v>17</v>
      </c>
      <c r="L15" s="21"/>
      <c r="M15" s="21" t="s">
        <v>17</v>
      </c>
      <c r="N15" s="6"/>
      <c r="O15" s="23" t="s">
        <v>32</v>
      </c>
      <c r="P15" s="18">
        <v>177</v>
      </c>
      <c r="Q15" s="18">
        <v>33</v>
      </c>
      <c r="R15" s="18">
        <v>43</v>
      </c>
      <c r="S15" s="46"/>
      <c r="T15" s="18">
        <v>240.375</v>
      </c>
      <c r="U15" s="46"/>
      <c r="V15" s="18">
        <v>39</v>
      </c>
      <c r="W15" s="18">
        <v>51</v>
      </c>
      <c r="X15" s="18">
        <v>53</v>
      </c>
      <c r="Y15" s="18">
        <v>37</v>
      </c>
      <c r="Z15" s="46"/>
      <c r="AA15" s="46" t="s">
        <v>37</v>
      </c>
      <c r="AC15" s="25" t="s">
        <v>33</v>
      </c>
      <c r="AD15" s="31">
        <f>COUNTIFS(P14:AA21,"&gt;50",P14:AA21,"&lt;126")</f>
        <v>17</v>
      </c>
      <c r="AE15" s="27">
        <f>(COUNTIFS(P14:AA21,"&gt;50",P14:AA21,"&lt;126",B14:M21,"=i")+COUNTIFS(P14:AA21,"&gt;50",P14:AA21,"&lt;126",B14:M21,"=i - SEM")+COUNTIFS(P14:AA21,"&gt;50",P14:AA21,"&lt;126",B14:M21,"i x 2 - SEM")+COUNTIFS(P14:AA21,"&gt;50",P14:AA21,"&lt;126",B14:M21,"2E 2 - i"))</f>
        <v>10</v>
      </c>
      <c r="AF15" s="28">
        <f>(COUNTIFS(P14:AA21,"&gt;50",P14:AA21,"&lt;126",B14:M21,"=s")+COUNTIFS(P14:AA21,"&gt;50",P14:AA21,"&lt;126",B14:M21,"=s - SEM"))</f>
        <v>5</v>
      </c>
      <c r="AG15" s="30">
        <f>(COUNTIFS(P14:AA21,"&gt;50",P14:AA21,"&lt;126",B14:M21,"=g")+COUNTIFS(P14:AA21,"&gt;50",P14:AA21,"&lt;126",B14:M21,"=g - SEM"))</f>
        <v>0</v>
      </c>
      <c r="AH15" s="10"/>
    </row>
    <row r="16" spans="1:34">
      <c r="A16" s="16" t="s">
        <v>34</v>
      </c>
      <c r="B16" s="18" t="s">
        <v>35</v>
      </c>
      <c r="C16" s="18"/>
      <c r="D16" s="18" t="s">
        <v>66</v>
      </c>
      <c r="E16" s="18" t="s">
        <v>17</v>
      </c>
      <c r="F16" s="18" t="s">
        <v>17</v>
      </c>
      <c r="G16" s="18" t="s">
        <v>66</v>
      </c>
      <c r="H16" s="18"/>
      <c r="I16" s="21" t="s">
        <v>17</v>
      </c>
      <c r="J16" s="21"/>
      <c r="K16" s="21"/>
      <c r="L16" s="21" t="s">
        <v>17</v>
      </c>
      <c r="M16" s="21" t="s">
        <v>18</v>
      </c>
      <c r="N16" s="6"/>
      <c r="O16" s="23" t="s">
        <v>34</v>
      </c>
      <c r="P16" s="18">
        <v>74</v>
      </c>
      <c r="Q16" s="46"/>
      <c r="R16" s="18">
        <v>280.125</v>
      </c>
      <c r="S16" s="18">
        <v>41</v>
      </c>
      <c r="T16" s="18">
        <v>131</v>
      </c>
      <c r="U16" s="18">
        <v>224</v>
      </c>
      <c r="V16" s="46"/>
      <c r="W16" s="18">
        <v>43</v>
      </c>
      <c r="X16" s="46" t="s">
        <v>37</v>
      </c>
      <c r="Y16" s="46" t="s">
        <v>37</v>
      </c>
      <c r="Z16" s="18">
        <v>32</v>
      </c>
      <c r="AA16" s="46" t="s">
        <v>37</v>
      </c>
      <c r="AC16" s="25" t="s">
        <v>36</v>
      </c>
      <c r="AD16" s="31">
        <f>COUNTIFS(P14:AA21,"&gt;125",P14:AA21,"&lt;251")</f>
        <v>12</v>
      </c>
      <c r="AE16" s="27">
        <f>(COUNTIFS(P14:AA21,"&gt;125",P14:AA21,"&lt;251",B14:M21,"=i")+COUNTIFS(P14:AA21,"&gt;125",P14:AA21,"&lt;251",B14:M21,"=i - SEM")+COUNTIFS(P14:AA21,"&gt;125",P14:AA21,"&lt;251",B14:M21,"i x 2 - SEM")+COUNTIFS(P14:AA21,"&gt;125",P14:AA21,"&lt;251",B14:M21,"2E 2 - i"))</f>
        <v>3</v>
      </c>
      <c r="AF16" s="28">
        <f>(COUNTIFS(P14:AA21,"&gt;125",P14:AA21,"&lt;251",B14:M21,"=s")+COUNTIFS(P14:AA21,"&gt;125",P14:AA21,"&lt;251",B14:M21,"=s - SEM"))</f>
        <v>8</v>
      </c>
      <c r="AG16" s="30">
        <f>(COUNTIFS(P14:AA21,"&gt;125",P14:AA21,"&lt;251",B14:M21,"=g")+COUNTIFS(P14:AA21,"&gt;125",P14:AA21,"&lt;251",B14:M21,"=g - SEM"))</f>
        <v>0</v>
      </c>
      <c r="AH16" s="10"/>
    </row>
    <row r="17" spans="1:34">
      <c r="A17" s="16" t="s">
        <v>38</v>
      </c>
      <c r="B17" s="18" t="s">
        <v>17</v>
      </c>
      <c r="C17" s="18" t="s">
        <v>35</v>
      </c>
      <c r="D17" s="18" t="s">
        <v>18</v>
      </c>
      <c r="E17" s="18" t="s">
        <v>17</v>
      </c>
      <c r="F17" s="18" t="s">
        <v>18</v>
      </c>
      <c r="G17" s="18" t="s">
        <v>17</v>
      </c>
      <c r="H17" s="21" t="s">
        <v>17</v>
      </c>
      <c r="I17" s="21" t="s">
        <v>75</v>
      </c>
      <c r="J17" s="21" t="s">
        <v>17</v>
      </c>
      <c r="K17" s="21" t="s">
        <v>17</v>
      </c>
      <c r="L17" s="21" t="s">
        <v>18</v>
      </c>
      <c r="M17" s="21" t="s">
        <v>18</v>
      </c>
      <c r="N17" s="6"/>
      <c r="O17" s="23" t="s">
        <v>38</v>
      </c>
      <c r="P17" s="18">
        <v>60</v>
      </c>
      <c r="Q17" s="18">
        <v>47</v>
      </c>
      <c r="R17" s="18">
        <v>43</v>
      </c>
      <c r="S17" s="18">
        <v>57</v>
      </c>
      <c r="T17" s="46" t="s">
        <v>37</v>
      </c>
      <c r="U17" s="18">
        <v>324</v>
      </c>
      <c r="V17" s="18">
        <v>99</v>
      </c>
      <c r="W17" s="18">
        <v>220.739</v>
      </c>
      <c r="X17" s="18">
        <v>69</v>
      </c>
      <c r="Y17" s="18">
        <v>40</v>
      </c>
      <c r="Z17" s="46" t="s">
        <v>37</v>
      </c>
      <c r="AA17" s="46" t="s">
        <v>37</v>
      </c>
      <c r="AC17" s="25" t="s">
        <v>39</v>
      </c>
      <c r="AD17" s="31">
        <f>COUNTIFS(P14:AA21,"&gt;250",P14:AA21,"&lt;501")</f>
        <v>4</v>
      </c>
      <c r="AE17" s="27">
        <f>(COUNTIFS(P14:AA21,"&gt;250",P14:AA21,"&lt;501",B14:M21,"=i")+COUNTIFS(P14:AA21,"&gt;250",P14:AA21,"&lt;501",B14:M21,"=i - SEM")+COUNTIFS(P14:AA21,"&gt;250",P14:AA21,"&lt;501",B14:M21,"i x 2 - SEM")+COUNTIFS(P14:AA21,"&gt;250",P14:AA21,"&lt;501",B14:M21,"2E 2 - i"))</f>
        <v>2</v>
      </c>
      <c r="AF17" s="28">
        <f>(COUNTIFS(P14:AA21,"&gt;250",P14:AA21,"&lt;501",B14:M21,"=s")+COUNTIFS(P14:AA21,"&gt;250",P14:AA21,"&lt;501",B14:M21,"=s - SEM"))</f>
        <v>2</v>
      </c>
      <c r="AG17" s="30">
        <f>(COUNTIFS(P14:AA21,"&gt;250",P14:AA21,"&lt;501",B14:M21,"=g")+COUNTIFS(P14:AA21,"&gt;250",P14:AA21,"&lt;501",B14:M21,"=g - SEM"))</f>
        <v>0</v>
      </c>
      <c r="AH17" s="10"/>
    </row>
    <row r="18" spans="1:34">
      <c r="A18" s="16" t="s">
        <v>40</v>
      </c>
      <c r="B18" s="18" t="s">
        <v>77</v>
      </c>
      <c r="C18" s="21" t="s">
        <v>78</v>
      </c>
      <c r="D18" s="18" t="s">
        <v>17</v>
      </c>
      <c r="E18" s="18" t="s">
        <v>63</v>
      </c>
      <c r="F18" s="18" t="s">
        <v>18</v>
      </c>
      <c r="G18" s="21" t="s">
        <v>17</v>
      </c>
      <c r="H18" s="21" t="s">
        <v>18</v>
      </c>
      <c r="I18" s="21" t="s">
        <v>79</v>
      </c>
      <c r="J18" s="21" t="s">
        <v>17</v>
      </c>
      <c r="K18" s="21" t="s">
        <v>18</v>
      </c>
      <c r="L18" s="21" t="s">
        <v>18</v>
      </c>
      <c r="M18" s="21"/>
      <c r="N18" s="6"/>
      <c r="O18" s="23" t="s">
        <v>40</v>
      </c>
      <c r="P18" s="18" t="s">
        <v>37</v>
      </c>
      <c r="Q18" s="46" t="s">
        <v>74</v>
      </c>
      <c r="R18" s="18">
        <v>28</v>
      </c>
      <c r="S18" s="18">
        <v>288</v>
      </c>
      <c r="T18" s="46" t="s">
        <v>37</v>
      </c>
      <c r="U18" s="18">
        <v>50</v>
      </c>
      <c r="V18" s="46" t="s">
        <v>37</v>
      </c>
      <c r="W18" s="46"/>
      <c r="X18" s="18">
        <v>49</v>
      </c>
      <c r="Y18" s="18">
        <v>57</v>
      </c>
      <c r="Z18" s="46" t="s">
        <v>37</v>
      </c>
      <c r="AA18" s="18">
        <v>27</v>
      </c>
      <c r="AC18" s="25" t="s">
        <v>41</v>
      </c>
      <c r="AD18" s="31">
        <f>COUNTIF(P14:AA21,"&gt;500")</f>
        <v>0</v>
      </c>
      <c r="AE18" s="27">
        <f>COUNTIFS(P14:AA21,"&gt;500",B14:M21,"=i")</f>
        <v>0</v>
      </c>
      <c r="AF18" s="28">
        <f>COUNTIFS(P18:AA25,"&gt;500",B18:M25,"=s")</f>
        <v>0</v>
      </c>
      <c r="AG18" s="30">
        <f>COUNTIFS(P18:AA25,"&gt;500",B18:M25,"=g")</f>
        <v>0</v>
      </c>
      <c r="AH18" s="10"/>
    </row>
    <row r="19" spans="1:34">
      <c r="A19" s="16" t="s">
        <v>42</v>
      </c>
      <c r="B19" s="18" t="s">
        <v>18</v>
      </c>
      <c r="C19" s="21" t="s">
        <v>17</v>
      </c>
      <c r="D19" s="18" t="s">
        <v>17</v>
      </c>
      <c r="E19" s="18" t="s">
        <v>18</v>
      </c>
      <c r="F19" s="18" t="s">
        <v>66</v>
      </c>
      <c r="G19" s="21" t="s">
        <v>17</v>
      </c>
      <c r="H19" s="21" t="s">
        <v>17</v>
      </c>
      <c r="I19" s="21" t="s">
        <v>18</v>
      </c>
      <c r="J19" s="21"/>
      <c r="K19" s="21"/>
      <c r="L19" s="21" t="s">
        <v>18</v>
      </c>
      <c r="M19" s="21" t="s">
        <v>17</v>
      </c>
      <c r="N19" s="6"/>
      <c r="O19" s="23" t="s">
        <v>42</v>
      </c>
      <c r="P19" s="18">
        <v>52</v>
      </c>
      <c r="Q19" s="18">
        <v>52</v>
      </c>
      <c r="R19" s="18">
        <v>53</v>
      </c>
      <c r="S19" s="46" t="s">
        <v>37</v>
      </c>
      <c r="T19" s="18">
        <v>281.25</v>
      </c>
      <c r="U19" s="46" t="s">
        <v>37</v>
      </c>
      <c r="V19" s="18">
        <v>58</v>
      </c>
      <c r="W19" s="46" t="s">
        <v>37</v>
      </c>
      <c r="X19" s="18">
        <v>89</v>
      </c>
      <c r="Y19" s="46" t="s">
        <v>37</v>
      </c>
      <c r="Z19" s="46" t="s">
        <v>37</v>
      </c>
      <c r="AA19" s="46" t="s">
        <v>37</v>
      </c>
      <c r="AD19" s="10">
        <f>SUM(AD14:AD18)</f>
        <v>61</v>
      </c>
      <c r="AG19" s="47"/>
    </row>
    <row r="20" spans="1:34">
      <c r="A20" s="16" t="s">
        <v>43</v>
      </c>
      <c r="B20" s="18" t="s">
        <v>18</v>
      </c>
      <c r="C20" s="18"/>
      <c r="D20" s="18" t="s">
        <v>17</v>
      </c>
      <c r="E20" s="18" t="s">
        <v>66</v>
      </c>
      <c r="F20" s="18" t="s">
        <v>66</v>
      </c>
      <c r="G20" s="18" t="s">
        <v>17</v>
      </c>
      <c r="H20" s="21" t="s">
        <v>17</v>
      </c>
      <c r="I20" s="21" t="s">
        <v>66</v>
      </c>
      <c r="J20" s="21" t="s">
        <v>18</v>
      </c>
      <c r="K20" s="21" t="s">
        <v>18</v>
      </c>
      <c r="L20" s="21" t="s">
        <v>17</v>
      </c>
      <c r="M20" s="21" t="s">
        <v>17</v>
      </c>
      <c r="N20" s="6"/>
      <c r="O20" s="23" t="s">
        <v>43</v>
      </c>
      <c r="P20" s="18">
        <v>49</v>
      </c>
      <c r="Q20" s="46"/>
      <c r="R20" s="18">
        <v>36</v>
      </c>
      <c r="S20" s="18">
        <v>188</v>
      </c>
      <c r="T20" s="18">
        <v>176.25</v>
      </c>
      <c r="U20" s="18">
        <v>41</v>
      </c>
      <c r="V20" s="18">
        <v>66</v>
      </c>
      <c r="W20" s="18">
        <v>190</v>
      </c>
      <c r="X20" s="18">
        <v>49</v>
      </c>
      <c r="Y20" s="46" t="s">
        <v>37</v>
      </c>
      <c r="Z20" s="18">
        <v>46</v>
      </c>
      <c r="AA20" s="46" t="s">
        <v>37</v>
      </c>
    </row>
    <row r="21" spans="1:34">
      <c r="A21" s="16" t="s">
        <v>47</v>
      </c>
      <c r="B21" s="18" t="s">
        <v>18</v>
      </c>
      <c r="C21" s="18" t="s">
        <v>81</v>
      </c>
      <c r="D21" s="18" t="s">
        <v>18</v>
      </c>
      <c r="E21" s="18" t="s">
        <v>18</v>
      </c>
      <c r="F21" s="18" t="s">
        <v>66</v>
      </c>
      <c r="G21" s="18" t="s">
        <v>17</v>
      </c>
      <c r="H21" s="21" t="s">
        <v>18</v>
      </c>
      <c r="I21" s="21" t="s">
        <v>18</v>
      </c>
      <c r="J21" s="21" t="s">
        <v>17</v>
      </c>
      <c r="K21" s="21" t="s">
        <v>17</v>
      </c>
      <c r="L21" s="18"/>
      <c r="M21" s="18" t="s">
        <v>18</v>
      </c>
      <c r="N21" s="6"/>
      <c r="O21" s="23" t="s">
        <v>47</v>
      </c>
      <c r="P21" s="18">
        <v>39</v>
      </c>
      <c r="Q21" s="18">
        <v>30</v>
      </c>
      <c r="R21" s="18">
        <v>56</v>
      </c>
      <c r="S21" s="46" t="s">
        <v>37</v>
      </c>
      <c r="T21" s="18">
        <v>213</v>
      </c>
      <c r="U21" s="18">
        <v>48</v>
      </c>
      <c r="V21" s="18">
        <v>60</v>
      </c>
      <c r="W21" s="18">
        <v>139</v>
      </c>
      <c r="X21" s="18">
        <v>36</v>
      </c>
      <c r="Y21" s="18">
        <v>49</v>
      </c>
      <c r="Z21" s="46"/>
      <c r="AA21" s="46" t="s">
        <v>37</v>
      </c>
    </row>
    <row r="22" spans="1:34"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34">
      <c r="A23" s="2" t="s">
        <v>82</v>
      </c>
      <c r="B23" s="2" t="s">
        <v>71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 t="s">
        <v>82</v>
      </c>
      <c r="P23" s="3"/>
      <c r="Q23" s="3"/>
      <c r="R23" s="3"/>
      <c r="S23" s="3"/>
      <c r="T23" s="3"/>
      <c r="U23" s="3"/>
      <c r="V23" s="29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4" t="s">
        <v>3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6"/>
      <c r="O24" s="7" t="s">
        <v>8</v>
      </c>
      <c r="P24" s="8">
        <v>1</v>
      </c>
      <c r="Q24" s="8">
        <v>2</v>
      </c>
      <c r="R24" s="8">
        <v>3</v>
      </c>
      <c r="S24" s="8">
        <v>4</v>
      </c>
      <c r="T24" s="8">
        <v>5</v>
      </c>
      <c r="U24" s="8">
        <v>6</v>
      </c>
      <c r="V24" s="8">
        <v>7</v>
      </c>
      <c r="W24" s="8">
        <v>8</v>
      </c>
      <c r="X24" s="8">
        <v>9</v>
      </c>
      <c r="Y24" s="8">
        <v>10</v>
      </c>
      <c r="Z24" s="8">
        <v>11</v>
      </c>
      <c r="AA24" s="8">
        <v>12</v>
      </c>
      <c r="AB24" s="10"/>
      <c r="AC24" s="11" t="s">
        <v>9</v>
      </c>
      <c r="AD24" s="12" t="s">
        <v>10</v>
      </c>
      <c r="AE24" s="13" t="s">
        <v>11</v>
      </c>
      <c r="AF24" s="13" t="s">
        <v>12</v>
      </c>
      <c r="AG24" s="13" t="s">
        <v>13</v>
      </c>
      <c r="AH24" s="14"/>
    </row>
    <row r="25" spans="1:34">
      <c r="A25" s="16" t="s">
        <v>14</v>
      </c>
      <c r="B25" s="18" t="s">
        <v>63</v>
      </c>
      <c r="C25" s="20" t="s">
        <v>17</v>
      </c>
      <c r="D25" s="21" t="s">
        <v>17</v>
      </c>
      <c r="E25" s="18" t="s">
        <v>18</v>
      </c>
      <c r="F25" s="18" t="s">
        <v>17</v>
      </c>
      <c r="G25" s="18" t="s">
        <v>66</v>
      </c>
      <c r="H25" s="18" t="s">
        <v>17</v>
      </c>
      <c r="I25" s="21" t="s">
        <v>17</v>
      </c>
      <c r="J25" s="21" t="s">
        <v>17</v>
      </c>
      <c r="K25" s="21" t="s">
        <v>17</v>
      </c>
      <c r="L25" s="21" t="s">
        <v>17</v>
      </c>
      <c r="M25" s="21" t="s">
        <v>17</v>
      </c>
      <c r="N25" s="6"/>
      <c r="O25" s="23" t="s">
        <v>14</v>
      </c>
      <c r="P25" s="18">
        <v>176</v>
      </c>
      <c r="Q25" s="18">
        <v>40</v>
      </c>
      <c r="R25" s="18">
        <v>48</v>
      </c>
      <c r="S25" s="18">
        <v>160</v>
      </c>
      <c r="T25" s="18">
        <v>50</v>
      </c>
      <c r="U25" s="18">
        <v>194</v>
      </c>
      <c r="V25" s="18">
        <v>41</v>
      </c>
      <c r="W25" s="18">
        <v>69</v>
      </c>
      <c r="X25" s="18">
        <v>60</v>
      </c>
      <c r="Y25" s="18">
        <v>37</v>
      </c>
      <c r="Z25" s="18">
        <v>42</v>
      </c>
      <c r="AA25" s="18">
        <v>24</v>
      </c>
      <c r="AB25" s="10"/>
      <c r="AC25" s="25" t="s">
        <v>21</v>
      </c>
      <c r="AD25" s="26">
        <f>COUNTIFS(P25:AA32,"&gt;0",P25:AA32,"&lt;51")</f>
        <v>47</v>
      </c>
      <c r="AE25" s="27">
        <f>(COUNTIFS(P25:AA32,"&gt;0",P25:AA32,"&lt;51",B25:M32,"=i")+COUNTIFS(P25:AA32,"&gt;0",P25:AA32,"&lt;51",B25:M32,"=i - SEM"))</f>
        <v>45</v>
      </c>
      <c r="AF25" s="28">
        <f>(COUNTIFS(P25:AA32,"&gt;0",P25:AA32,"&lt;51",B25:M32,"=s")+COUNTIFS(P25:AA32,"&gt;0",P25:AA32,"&lt;51",B25:M32,"=s - SEM"))</f>
        <v>2</v>
      </c>
      <c r="AG25" s="30">
        <f>(COUNTIFS(P25:AA32,"&gt;0",P25:AA32,"&lt;51",B25:M32,"=g")+COUNTIFS(P25:AA32,"&gt;0",P25:AA32,"&lt;51",B25:M32,"=g - SEM"))</f>
        <v>0</v>
      </c>
      <c r="AH25" s="10"/>
    </row>
    <row r="26" spans="1:34">
      <c r="A26" s="16" t="s">
        <v>32</v>
      </c>
      <c r="B26" s="18" t="s">
        <v>17</v>
      </c>
      <c r="C26" s="18" t="s">
        <v>17</v>
      </c>
      <c r="D26" s="18" t="s">
        <v>17</v>
      </c>
      <c r="E26" s="18" t="s">
        <v>66</v>
      </c>
      <c r="F26" s="18" t="s">
        <v>18</v>
      </c>
      <c r="G26" s="18" t="s">
        <v>63</v>
      </c>
      <c r="H26" s="18" t="s">
        <v>17</v>
      </c>
      <c r="I26" s="21" t="s">
        <v>17</v>
      </c>
      <c r="J26" s="21" t="s">
        <v>17</v>
      </c>
      <c r="K26" s="21" t="s">
        <v>17</v>
      </c>
      <c r="L26" s="21" t="s">
        <v>17</v>
      </c>
      <c r="M26" s="21" t="s">
        <v>17</v>
      </c>
      <c r="N26" s="6"/>
      <c r="O26" s="23" t="s">
        <v>32</v>
      </c>
      <c r="P26" s="18">
        <v>50</v>
      </c>
      <c r="Q26" s="18">
        <v>40</v>
      </c>
      <c r="R26" s="18">
        <v>52</v>
      </c>
      <c r="S26" s="18">
        <v>302.00900000000001</v>
      </c>
      <c r="T26" s="18">
        <v>264</v>
      </c>
      <c r="U26" s="18">
        <v>216</v>
      </c>
      <c r="V26" s="18">
        <v>38</v>
      </c>
      <c r="W26" s="18">
        <v>40</v>
      </c>
      <c r="X26" s="18">
        <v>58</v>
      </c>
      <c r="Y26" s="18">
        <v>42</v>
      </c>
      <c r="Z26" s="18">
        <v>30</v>
      </c>
      <c r="AA26" s="18">
        <v>36</v>
      </c>
      <c r="AB26" s="10"/>
      <c r="AC26" s="25" t="s">
        <v>33</v>
      </c>
      <c r="AD26" s="31">
        <f>COUNTIFS(P25:AA32,"&gt;50",P25:AA32,"&lt;126")</f>
        <v>25</v>
      </c>
      <c r="AE26" s="27">
        <f>(COUNTIFS(P25:AA32,"&gt;50",P25:AA32,"&lt;126",B25:M32,"=i")+COUNTIFS(P25:AA32,"&gt;50",P25:AA32,"&lt;126",B25:M32,"=i - SEM"))</f>
        <v>24</v>
      </c>
      <c r="AF26" s="28">
        <f>(COUNTIFS(P25:AA32,"&gt;50",P25:AA32,"&lt;126",B25:M32,"=s")+COUNTIFS(P25:AA32,"&gt;50",P25:AA32,"&lt;126",B25:M32,"=s - SEM"))</f>
        <v>1</v>
      </c>
      <c r="AG26" s="30">
        <f>(COUNTIFS(P25:AA32,"&gt;50",P25:AA32,"&lt;126",B25:M32,"=g")+COUNTIFS(P25:AA32,"&gt;50",P25:AA32,"&lt;126",B25:M32,"=g - SEM"))</f>
        <v>0</v>
      </c>
      <c r="AH26" s="10"/>
    </row>
    <row r="27" spans="1:34">
      <c r="A27" s="16" t="s">
        <v>34</v>
      </c>
      <c r="B27" s="18"/>
      <c r="C27" s="18" t="s">
        <v>17</v>
      </c>
      <c r="D27" s="18" t="s">
        <v>17</v>
      </c>
      <c r="E27" s="18" t="s">
        <v>66</v>
      </c>
      <c r="F27" s="18" t="s">
        <v>66</v>
      </c>
      <c r="G27" s="18" t="s">
        <v>63</v>
      </c>
      <c r="H27" s="18" t="s">
        <v>66</v>
      </c>
      <c r="I27" s="21" t="s">
        <v>17</v>
      </c>
      <c r="J27" s="21" t="s">
        <v>17</v>
      </c>
      <c r="K27" s="21" t="s">
        <v>17</v>
      </c>
      <c r="L27" s="21" t="s">
        <v>17</v>
      </c>
      <c r="M27" s="21" t="s">
        <v>17</v>
      </c>
      <c r="N27" s="6"/>
      <c r="O27" s="23" t="s">
        <v>34</v>
      </c>
      <c r="P27" s="46"/>
      <c r="Q27" s="18">
        <v>60</v>
      </c>
      <c r="R27" s="18">
        <v>44</v>
      </c>
      <c r="S27" s="18">
        <v>293.09199999999998</v>
      </c>
      <c r="T27" s="18">
        <v>347.81299999999999</v>
      </c>
      <c r="U27" s="18">
        <v>211</v>
      </c>
      <c r="V27" s="18">
        <v>216</v>
      </c>
      <c r="W27" s="18">
        <v>60</v>
      </c>
      <c r="X27" s="18">
        <v>42</v>
      </c>
      <c r="Y27" s="18">
        <v>36</v>
      </c>
      <c r="Z27" s="18">
        <v>54</v>
      </c>
      <c r="AA27" s="18">
        <v>60</v>
      </c>
      <c r="AB27" s="10"/>
      <c r="AC27" s="25" t="s">
        <v>36</v>
      </c>
      <c r="AD27" s="31">
        <f>COUNTIFS(P25:AA32,"&gt;125",P25:AA32,"&lt;251")</f>
        <v>11</v>
      </c>
      <c r="AE27" s="27">
        <f>(COUNTIFS(P25:AA32,"&gt;125",P25:AA32,"&lt;251",B25:M32,"=i")+COUNTIFS(P25:AA32,"&gt;125",P25:AA32,"&lt;251",B25:M32,"=i - SEM"))</f>
        <v>5</v>
      </c>
      <c r="AF27" s="28">
        <f>(COUNTIFS(P25:AA32,"&gt;125",P25:AA32,"&lt;251",B25:M32,"=s")+COUNTIFS(P25:AA32,"&gt;125",P25:AA32,"&lt;251",B25:M32,"=s - SEM"))</f>
        <v>5</v>
      </c>
      <c r="AG27" s="30">
        <f>(COUNTIFS(P25:AA32,"&gt;125",P25:AA32,"&lt;251",B25:M32,"=g")+COUNTIFS(P25:AA32,"&gt;125",P25:AA32,"&lt;251",B25:M32,"=g - SEM"))</f>
        <v>1</v>
      </c>
      <c r="AH27" s="10"/>
    </row>
    <row r="28" spans="1:34">
      <c r="A28" s="16" t="s">
        <v>38</v>
      </c>
      <c r="B28" s="18" t="s">
        <v>17</v>
      </c>
      <c r="C28" s="18" t="s">
        <v>17</v>
      </c>
      <c r="D28" s="18" t="s">
        <v>17</v>
      </c>
      <c r="E28" s="18" t="s">
        <v>17</v>
      </c>
      <c r="F28" s="18" t="s">
        <v>17</v>
      </c>
      <c r="G28" s="18" t="s">
        <v>63</v>
      </c>
      <c r="H28" s="21" t="s">
        <v>66</v>
      </c>
      <c r="I28" s="21" t="s">
        <v>17</v>
      </c>
      <c r="J28" s="21" t="s">
        <v>17</v>
      </c>
      <c r="K28" s="21" t="s">
        <v>17</v>
      </c>
      <c r="L28" s="21" t="s">
        <v>17</v>
      </c>
      <c r="M28" s="21" t="s">
        <v>17</v>
      </c>
      <c r="N28" s="6"/>
      <c r="O28" s="23" t="s">
        <v>38</v>
      </c>
      <c r="P28" s="18">
        <v>47</v>
      </c>
      <c r="Q28" s="18">
        <v>41</v>
      </c>
      <c r="R28" s="18">
        <v>48</v>
      </c>
      <c r="S28" s="18">
        <v>94</v>
      </c>
      <c r="T28" s="18">
        <v>84</v>
      </c>
      <c r="U28" s="18">
        <v>232</v>
      </c>
      <c r="V28" s="18">
        <v>153</v>
      </c>
      <c r="W28" s="18">
        <v>25</v>
      </c>
      <c r="X28" s="18">
        <v>51</v>
      </c>
      <c r="Y28" s="46">
        <v>46</v>
      </c>
      <c r="Z28" s="18">
        <v>54</v>
      </c>
      <c r="AA28" s="18">
        <v>48</v>
      </c>
      <c r="AB28" s="10"/>
      <c r="AC28" s="25" t="s">
        <v>39</v>
      </c>
      <c r="AD28" s="31">
        <f>COUNTIFS(P25:AA32,"&gt;250",P25:AA32,"&lt;501")</f>
        <v>7</v>
      </c>
      <c r="AE28" s="27">
        <f>(COUNTIFS(P25:AA32,"&gt;250",P25:AA32,"&lt;501",B25:M32,"=i")+COUNTIFS(P25:AA32,"&gt;250",P25:AA32,"&lt;501",B25:M32,"=i - SEM"))</f>
        <v>3</v>
      </c>
      <c r="AF28" s="28">
        <f>(COUNTIFS(P25:AA32,"&gt;250",P25:AA32,"&lt;501",B25:M32,"=s")+COUNTIFS(P25:AA32,"&gt;250",P25:AA32,"&lt;501",B25:M32,"=s - SEM"))</f>
        <v>4</v>
      </c>
      <c r="AG28" s="30">
        <f>(COUNTIFS(P25:AA32,"&gt;250",P25:AA32,"&lt;501",B25:M32,"=g")+COUNTIFS(P25:AA32,"&gt;250",P25:AA32,"&lt;501",B25:M32,"=g - SEM"))</f>
        <v>0</v>
      </c>
      <c r="AH28" s="10"/>
    </row>
    <row r="29" spans="1:34">
      <c r="A29" s="16" t="s">
        <v>40</v>
      </c>
      <c r="B29" s="18" t="s">
        <v>17</v>
      </c>
      <c r="C29" s="21" t="s">
        <v>17</v>
      </c>
      <c r="D29" s="18" t="s">
        <v>17</v>
      </c>
      <c r="E29" s="18" t="s">
        <v>17</v>
      </c>
      <c r="F29" s="18" t="s">
        <v>63</v>
      </c>
      <c r="G29" s="21" t="s">
        <v>66</v>
      </c>
      <c r="H29" s="21" t="s">
        <v>18</v>
      </c>
      <c r="I29" s="21" t="s">
        <v>17</v>
      </c>
      <c r="J29" s="21" t="s">
        <v>17</v>
      </c>
      <c r="K29" s="21" t="s">
        <v>17</v>
      </c>
      <c r="L29" s="21" t="s">
        <v>17</v>
      </c>
      <c r="M29" s="21" t="s">
        <v>17</v>
      </c>
      <c r="N29" s="6"/>
      <c r="O29" s="23" t="s">
        <v>40</v>
      </c>
      <c r="P29" s="18">
        <v>35</v>
      </c>
      <c r="Q29" s="18">
        <v>50</v>
      </c>
      <c r="R29" s="18">
        <v>45</v>
      </c>
      <c r="S29" s="18">
        <v>48</v>
      </c>
      <c r="T29" s="18">
        <v>359.55900000000003</v>
      </c>
      <c r="U29" s="18">
        <v>188</v>
      </c>
      <c r="V29" s="46" t="s">
        <v>37</v>
      </c>
      <c r="W29" s="18">
        <v>66</v>
      </c>
      <c r="X29" s="18">
        <v>45</v>
      </c>
      <c r="Y29" s="18">
        <v>36</v>
      </c>
      <c r="Z29" s="18">
        <v>36</v>
      </c>
      <c r="AA29" s="18">
        <v>54</v>
      </c>
      <c r="AB29" s="10"/>
      <c r="AC29" s="25" t="s">
        <v>41</v>
      </c>
      <c r="AD29" s="31">
        <f>COUNTIF(P25:AA32,"&gt;500")</f>
        <v>0</v>
      </c>
      <c r="AE29" s="27">
        <f>COUNTIFS(P29:AA36,"&gt;500",B29:M36,"=i")</f>
        <v>0</v>
      </c>
      <c r="AF29" s="28">
        <f>COUNTIFS(P29:AA36,"&gt;500",B29:M36,"=s")</f>
        <v>0</v>
      </c>
      <c r="AG29" s="30">
        <f>COUNTIFS(P29:AA36,"&gt;500",B29:M36,"=g")</f>
        <v>0</v>
      </c>
      <c r="AH29" s="10"/>
    </row>
    <row r="30" spans="1:34">
      <c r="A30" s="16" t="s">
        <v>42</v>
      </c>
      <c r="B30" s="18" t="s">
        <v>17</v>
      </c>
      <c r="C30" s="21" t="s">
        <v>17</v>
      </c>
      <c r="D30" s="18" t="s">
        <v>17</v>
      </c>
      <c r="E30" s="18"/>
      <c r="F30" s="18" t="s">
        <v>63</v>
      </c>
      <c r="G30" s="21" t="s">
        <v>18</v>
      </c>
      <c r="H30" s="21" t="s">
        <v>86</v>
      </c>
      <c r="I30" s="21" t="s">
        <v>17</v>
      </c>
      <c r="J30" s="21" t="s">
        <v>17</v>
      </c>
      <c r="K30" s="21" t="s">
        <v>17</v>
      </c>
      <c r="L30" s="21" t="s">
        <v>17</v>
      </c>
      <c r="M30" s="21" t="s">
        <v>17</v>
      </c>
      <c r="N30" s="6"/>
      <c r="O30" s="23" t="s">
        <v>42</v>
      </c>
      <c r="P30" s="18">
        <v>48</v>
      </c>
      <c r="Q30" s="18">
        <v>50</v>
      </c>
      <c r="R30" s="18">
        <v>63</v>
      </c>
      <c r="S30" s="46"/>
      <c r="T30" s="18">
        <v>491.25</v>
      </c>
      <c r="U30" s="18">
        <v>89</v>
      </c>
      <c r="V30" s="18">
        <v>153</v>
      </c>
      <c r="W30" s="18">
        <v>80</v>
      </c>
      <c r="X30" s="46" t="s">
        <v>37</v>
      </c>
      <c r="Y30" s="46"/>
      <c r="Z30" s="18">
        <v>36</v>
      </c>
      <c r="AA30" s="18">
        <v>54</v>
      </c>
      <c r="AB30" s="10"/>
      <c r="AC30" s="10"/>
      <c r="AD30" s="10">
        <f>SUM(AD25:AD29)</f>
        <v>90</v>
      </c>
      <c r="AE30" s="10"/>
      <c r="AF30" s="10"/>
      <c r="AG30" s="10"/>
      <c r="AH30" s="10"/>
    </row>
    <row r="31" spans="1:34">
      <c r="A31" s="16" t="s">
        <v>43</v>
      </c>
      <c r="B31" s="18" t="s">
        <v>17</v>
      </c>
      <c r="C31" s="18" t="s">
        <v>18</v>
      </c>
      <c r="D31" s="18" t="s">
        <v>17</v>
      </c>
      <c r="E31" s="18" t="s">
        <v>17</v>
      </c>
      <c r="F31" s="18" t="s">
        <v>63</v>
      </c>
      <c r="G31" s="18" t="s">
        <v>17</v>
      </c>
      <c r="H31" s="21" t="s">
        <v>17</v>
      </c>
      <c r="I31" s="21" t="s">
        <v>17</v>
      </c>
      <c r="J31" s="21" t="s">
        <v>17</v>
      </c>
      <c r="K31" s="21" t="s">
        <v>17</v>
      </c>
      <c r="L31" s="21" t="s">
        <v>17</v>
      </c>
      <c r="M31" s="21" t="s">
        <v>17</v>
      </c>
      <c r="N31" s="6"/>
      <c r="O31" s="23" t="s">
        <v>43</v>
      </c>
      <c r="P31" s="18">
        <v>42</v>
      </c>
      <c r="Q31" s="18">
        <v>47</v>
      </c>
      <c r="R31" s="18">
        <v>42</v>
      </c>
      <c r="S31" s="18">
        <v>40</v>
      </c>
      <c r="T31" s="18">
        <v>181.434</v>
      </c>
      <c r="U31" s="18">
        <v>42</v>
      </c>
      <c r="V31" s="18">
        <v>108</v>
      </c>
      <c r="W31" s="18">
        <v>42</v>
      </c>
      <c r="X31" s="18">
        <v>47</v>
      </c>
      <c r="Y31" s="46"/>
      <c r="Z31" s="18">
        <v>48</v>
      </c>
      <c r="AA31" s="18">
        <v>42</v>
      </c>
      <c r="AB31" s="10"/>
      <c r="AC31" s="10"/>
      <c r="AD31" s="10"/>
      <c r="AE31" s="10"/>
      <c r="AF31" s="10"/>
      <c r="AG31" s="10"/>
      <c r="AH31" s="10"/>
    </row>
    <row r="32" spans="1:34">
      <c r="A32" s="16" t="s">
        <v>47</v>
      </c>
      <c r="B32" s="18" t="s">
        <v>18</v>
      </c>
      <c r="C32" s="18" t="s">
        <v>17</v>
      </c>
      <c r="D32" s="18" t="s">
        <v>17</v>
      </c>
      <c r="E32" s="18" t="s">
        <v>17</v>
      </c>
      <c r="F32" s="18" t="s">
        <v>63</v>
      </c>
      <c r="G32" s="18" t="s">
        <v>17</v>
      </c>
      <c r="H32" s="21" t="s">
        <v>17</v>
      </c>
      <c r="I32" s="21" t="s">
        <v>17</v>
      </c>
      <c r="J32" s="21" t="s">
        <v>17</v>
      </c>
      <c r="K32" s="21" t="s">
        <v>17</v>
      </c>
      <c r="L32" s="18" t="s">
        <v>17</v>
      </c>
      <c r="M32" s="18" t="s">
        <v>17</v>
      </c>
      <c r="N32" s="6"/>
      <c r="O32" s="23" t="s">
        <v>47</v>
      </c>
      <c r="P32" s="18">
        <v>38</v>
      </c>
      <c r="Q32" s="18">
        <v>45</v>
      </c>
      <c r="R32" s="18">
        <v>96</v>
      </c>
      <c r="S32" s="18">
        <v>55</v>
      </c>
      <c r="T32" s="18">
        <v>384.375</v>
      </c>
      <c r="U32" s="18">
        <v>48</v>
      </c>
      <c r="V32" s="18">
        <v>59</v>
      </c>
      <c r="W32" s="18">
        <v>54</v>
      </c>
      <c r="X32" s="18">
        <v>36</v>
      </c>
      <c r="Y32" s="18">
        <v>65</v>
      </c>
      <c r="Z32" s="18">
        <v>42</v>
      </c>
      <c r="AA32" s="18">
        <v>54</v>
      </c>
      <c r="AB32" s="10"/>
      <c r="AC32" s="10"/>
      <c r="AD32" s="10"/>
      <c r="AE32" s="10"/>
      <c r="AF32" s="10"/>
      <c r="AG32" s="10"/>
      <c r="AH32" s="10"/>
    </row>
    <row r="33" spans="1:34"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34">
      <c r="A34" s="2" t="s">
        <v>87</v>
      </c>
      <c r="B34" s="2" t="s">
        <v>88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 t="s">
        <v>87</v>
      </c>
      <c r="P34" s="3"/>
      <c r="Q34" s="3"/>
      <c r="R34" s="3"/>
      <c r="S34" s="3"/>
      <c r="T34" s="3"/>
      <c r="U34" s="3"/>
      <c r="V34" s="29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>
      <c r="A35" s="4" t="s">
        <v>3</v>
      </c>
      <c r="B35" s="5">
        <v>1</v>
      </c>
      <c r="C35" s="5">
        <v>2</v>
      </c>
      <c r="D35" s="5">
        <v>3</v>
      </c>
      <c r="E35" s="5">
        <v>4</v>
      </c>
      <c r="F35" s="5">
        <v>5</v>
      </c>
      <c r="G35" s="5">
        <v>6</v>
      </c>
      <c r="H35" s="5">
        <v>7</v>
      </c>
      <c r="I35" s="5">
        <v>8</v>
      </c>
      <c r="J35" s="5">
        <v>9</v>
      </c>
      <c r="K35" s="5">
        <v>10</v>
      </c>
      <c r="L35" s="5">
        <v>11</v>
      </c>
      <c r="M35" s="5">
        <v>12</v>
      </c>
      <c r="N35" s="6"/>
      <c r="O35" s="7" t="s">
        <v>8</v>
      </c>
      <c r="P35" s="8">
        <v>1</v>
      </c>
      <c r="Q35" s="8">
        <v>2</v>
      </c>
      <c r="R35" s="8">
        <v>3</v>
      </c>
      <c r="S35" s="8">
        <v>4</v>
      </c>
      <c r="T35" s="8">
        <v>5</v>
      </c>
      <c r="U35" s="8">
        <v>6</v>
      </c>
      <c r="V35" s="8">
        <v>7</v>
      </c>
      <c r="W35" s="8">
        <v>8</v>
      </c>
      <c r="X35" s="8">
        <v>9</v>
      </c>
      <c r="Y35" s="8">
        <v>10</v>
      </c>
      <c r="Z35" s="8">
        <v>11</v>
      </c>
      <c r="AA35" s="8">
        <v>12</v>
      </c>
      <c r="AB35" s="10"/>
      <c r="AC35" s="11" t="s">
        <v>9</v>
      </c>
      <c r="AD35" s="12" t="s">
        <v>10</v>
      </c>
      <c r="AE35" s="13" t="s">
        <v>11</v>
      </c>
      <c r="AF35" s="13" t="s">
        <v>12</v>
      </c>
      <c r="AG35" s="13" t="s">
        <v>13</v>
      </c>
      <c r="AH35" s="14"/>
    </row>
    <row r="36" spans="1:34">
      <c r="A36" s="16" t="s">
        <v>14</v>
      </c>
      <c r="B36" s="18" t="s">
        <v>63</v>
      </c>
      <c r="C36" s="20" t="s">
        <v>17</v>
      </c>
      <c r="D36" s="21" t="s">
        <v>17</v>
      </c>
      <c r="E36" s="18" t="s">
        <v>17</v>
      </c>
      <c r="F36" s="18" t="s">
        <v>17</v>
      </c>
      <c r="G36" s="18" t="s">
        <v>35</v>
      </c>
      <c r="H36" s="18" t="s">
        <v>17</v>
      </c>
      <c r="I36" s="21" t="s">
        <v>66</v>
      </c>
      <c r="J36" s="21" t="s">
        <v>18</v>
      </c>
      <c r="K36" s="21" t="s">
        <v>17</v>
      </c>
      <c r="L36" s="21" t="s">
        <v>17</v>
      </c>
      <c r="M36" s="21" t="s">
        <v>18</v>
      </c>
      <c r="N36" s="6"/>
      <c r="O36" s="23" t="s">
        <v>14</v>
      </c>
      <c r="P36" s="18">
        <v>198</v>
      </c>
      <c r="Q36" s="18">
        <v>54</v>
      </c>
      <c r="R36" s="18">
        <v>95</v>
      </c>
      <c r="S36" s="18">
        <v>120</v>
      </c>
      <c r="T36" s="18">
        <v>49</v>
      </c>
      <c r="U36" s="18">
        <v>47</v>
      </c>
      <c r="V36" s="18">
        <v>54</v>
      </c>
      <c r="W36" s="18">
        <v>154</v>
      </c>
      <c r="X36" s="18">
        <v>90</v>
      </c>
      <c r="Y36" s="18">
        <v>92</v>
      </c>
      <c r="Z36" s="18">
        <v>58</v>
      </c>
      <c r="AA36" s="18">
        <v>123</v>
      </c>
      <c r="AB36" s="10"/>
      <c r="AC36" s="25" t="s">
        <v>21</v>
      </c>
      <c r="AD36" s="26">
        <f>COUNTIFS(P36:AA43,"&gt;0",P36:AA43,"&lt;51")</f>
        <v>25</v>
      </c>
      <c r="AE36" s="27">
        <f>(COUNTIFS(P36:AA43,"&gt;0",P36:AA43,"&lt;51",B36:M43,"=i")+COUNTIFS(P36:AA43,"&gt;0",P36:AA43,"&lt;51",B36:M43,"=i - SEM"))</f>
        <v>22</v>
      </c>
      <c r="AF36" s="38">
        <f>(COUNTIFS(P36:AA43,"&gt;0",P36:AA43,"&lt;51",B36:M43,"=s")+COUNTIFS(P36:AA43,"&gt;0",P36:AA43,"&lt;51",B36:M43,"=s - SEM"))</f>
        <v>0</v>
      </c>
      <c r="AG36" s="30">
        <f>(COUNTIFS(P36:AA43,"&gt;0",P36:AA43,"&lt;51",B36:M43,"=g")+COUNTIFS(P36:AA43,"&gt;0",P36:AA43,"&lt;51",B36:M43,"=g - SEM"))</f>
        <v>0</v>
      </c>
      <c r="AH36" s="10"/>
    </row>
    <row r="37" spans="1:34">
      <c r="A37" s="16" t="s">
        <v>32</v>
      </c>
      <c r="B37" s="18" t="s">
        <v>17</v>
      </c>
      <c r="C37" s="18" t="s">
        <v>17</v>
      </c>
      <c r="D37" s="18" t="s">
        <v>17</v>
      </c>
      <c r="E37" s="18" t="s">
        <v>17</v>
      </c>
      <c r="F37" s="18" t="s">
        <v>17</v>
      </c>
      <c r="G37" s="18" t="s">
        <v>35</v>
      </c>
      <c r="H37" s="18" t="s">
        <v>18</v>
      </c>
      <c r="I37" s="21" t="s">
        <v>17</v>
      </c>
      <c r="J37" s="21" t="s">
        <v>17</v>
      </c>
      <c r="K37" s="21" t="s">
        <v>17</v>
      </c>
      <c r="L37" s="21" t="s">
        <v>17</v>
      </c>
      <c r="M37" s="21" t="s">
        <v>17</v>
      </c>
      <c r="N37" s="6"/>
      <c r="O37" s="23" t="s">
        <v>32</v>
      </c>
      <c r="P37" s="18">
        <v>88</v>
      </c>
      <c r="Q37" s="46" t="s">
        <v>37</v>
      </c>
      <c r="R37" s="18">
        <v>50</v>
      </c>
      <c r="S37" s="46" t="s">
        <v>37</v>
      </c>
      <c r="T37" s="18">
        <v>72</v>
      </c>
      <c r="U37" s="18">
        <v>49</v>
      </c>
      <c r="V37" s="18">
        <v>55</v>
      </c>
      <c r="W37" s="46" t="s">
        <v>37</v>
      </c>
      <c r="X37" s="18">
        <v>40</v>
      </c>
      <c r="Y37" s="18">
        <v>49</v>
      </c>
      <c r="Z37" s="18">
        <v>39</v>
      </c>
      <c r="AA37" s="46" t="s">
        <v>37</v>
      </c>
      <c r="AB37" s="10"/>
      <c r="AC37" s="25" t="s">
        <v>33</v>
      </c>
      <c r="AD37" s="31">
        <f>COUNTIFS(P36:AA43,"&gt;50",P36:AA43,"&lt;126")</f>
        <v>44</v>
      </c>
      <c r="AE37" s="27">
        <f>(COUNTIFS(P36:AA43,"&gt;50",P36:AA43,"&lt;126",B36:M43,"=i")+COUNTIFS(P36:AA43,"&gt;50",P36:AA43,"&lt;126",B36:M43,"=i - SEM"))</f>
        <v>28</v>
      </c>
      <c r="AF37" s="28">
        <f>(COUNTIFS(P36:AA43,"&gt;50",P36:AA43,"&lt;126",B36:M43,"=s")+COUNTIFS(P36:AA43,"&gt;50",P36:AA43,"&lt;126",B36:M43,"=s - SEM"))</f>
        <v>15</v>
      </c>
      <c r="AG37" s="30">
        <f>(COUNTIFS(P36:AA43,"&gt;50",P36:AA43,"&lt;126",B36:M43,"=g")+COUNTIFS(P36:AA43,"&gt;50",P36:AA43,"&lt;126",B36:M43,"=g - SEM"))</f>
        <v>1</v>
      </c>
      <c r="AH37" s="10"/>
    </row>
    <row r="38" spans="1:34">
      <c r="A38" s="16" t="s">
        <v>34</v>
      </c>
      <c r="B38" s="18" t="s">
        <v>17</v>
      </c>
      <c r="C38" s="18" t="s">
        <v>17</v>
      </c>
      <c r="D38" s="18" t="s">
        <v>17</v>
      </c>
      <c r="E38" s="18" t="s">
        <v>63</v>
      </c>
      <c r="F38" s="18" t="s">
        <v>17</v>
      </c>
      <c r="G38" s="18" t="s">
        <v>17</v>
      </c>
      <c r="H38" s="18" t="s">
        <v>17</v>
      </c>
      <c r="I38" s="21" t="s">
        <v>18</v>
      </c>
      <c r="J38" s="21" t="s">
        <v>17</v>
      </c>
      <c r="K38" s="21" t="s">
        <v>17</v>
      </c>
      <c r="L38" s="21" t="s">
        <v>18</v>
      </c>
      <c r="M38" s="21" t="s">
        <v>63</v>
      </c>
      <c r="N38" s="6"/>
      <c r="O38" s="23" t="s">
        <v>34</v>
      </c>
      <c r="P38" s="46" t="s">
        <v>37</v>
      </c>
      <c r="Q38" s="18">
        <v>39</v>
      </c>
      <c r="R38" s="18">
        <v>54</v>
      </c>
      <c r="S38" s="18">
        <v>294.952</v>
      </c>
      <c r="T38" s="18">
        <v>45</v>
      </c>
      <c r="U38" s="18">
        <v>46</v>
      </c>
      <c r="V38" s="18">
        <v>118</v>
      </c>
      <c r="W38" s="18">
        <v>93</v>
      </c>
      <c r="X38" s="18">
        <v>50</v>
      </c>
      <c r="Y38" s="18">
        <v>73</v>
      </c>
      <c r="Z38" s="46" t="s">
        <v>37</v>
      </c>
      <c r="AA38" s="18">
        <v>158</v>
      </c>
      <c r="AB38" s="10"/>
      <c r="AC38" s="25" t="s">
        <v>36</v>
      </c>
      <c r="AD38" s="31">
        <f>COUNTIFS(P36:AA43,"&gt;125",P36:AA43,"&lt;251")</f>
        <v>16</v>
      </c>
      <c r="AE38" s="27">
        <f>(COUNTIFS(P36:AA43,"&gt;125",P36:AA43,"&lt;251",B36:M43,"=i")+COUNTIFS(P36:AA43,"&gt;125",P36:AA43,"&lt;251",B36:M43,"=i - SEM"))</f>
        <v>6</v>
      </c>
      <c r="AF38" s="28">
        <f>(COUNTIFS(P36:AA43,"&gt;125",P36:AA43,"&lt;251",B36:M43,"=s")+COUNTIFS(P36:AA43,"&gt;125",P36:AA43,"&lt;251",B36:M43,"=s - SEM"))</f>
        <v>9</v>
      </c>
      <c r="AG38" s="30">
        <f>COUNTIFS(P38:AA45,"&gt;125",P38:AA45,"&lt;251",B38:M45,"=g")</f>
        <v>0</v>
      </c>
      <c r="AH38" s="10"/>
    </row>
    <row r="39" spans="1:34">
      <c r="A39" s="16" t="s">
        <v>38</v>
      </c>
      <c r="B39" s="18" t="s">
        <v>17</v>
      </c>
      <c r="C39" s="18" t="s">
        <v>17</v>
      </c>
      <c r="D39" s="18" t="s">
        <v>17</v>
      </c>
      <c r="E39" s="18" t="s">
        <v>17</v>
      </c>
      <c r="F39" s="18" t="s">
        <v>18</v>
      </c>
      <c r="G39" s="18" t="s">
        <v>17</v>
      </c>
      <c r="H39" s="21" t="s">
        <v>66</v>
      </c>
      <c r="I39" s="21" t="s">
        <v>18</v>
      </c>
      <c r="J39" s="21" t="s">
        <v>17</v>
      </c>
      <c r="K39" s="21" t="s">
        <v>17</v>
      </c>
      <c r="L39" s="21" t="s">
        <v>18</v>
      </c>
      <c r="M39" s="21" t="s">
        <v>17</v>
      </c>
      <c r="N39" s="6"/>
      <c r="O39" s="23" t="s">
        <v>38</v>
      </c>
      <c r="P39" s="18">
        <v>108</v>
      </c>
      <c r="Q39" s="46">
        <v>63</v>
      </c>
      <c r="R39" s="46">
        <v>63</v>
      </c>
      <c r="S39" s="18">
        <v>150</v>
      </c>
      <c r="T39" s="18">
        <v>131</v>
      </c>
      <c r="U39" s="18">
        <v>132</v>
      </c>
      <c r="V39" s="18">
        <v>192</v>
      </c>
      <c r="W39" s="18">
        <v>108</v>
      </c>
      <c r="X39" s="46">
        <v>145</v>
      </c>
      <c r="Y39" s="18">
        <v>51</v>
      </c>
      <c r="Z39" s="18">
        <v>106</v>
      </c>
      <c r="AA39" s="46" t="s">
        <v>37</v>
      </c>
      <c r="AB39" s="10"/>
      <c r="AC39" s="25" t="s">
        <v>39</v>
      </c>
      <c r="AD39" s="31">
        <f>COUNTIFS(P36:AA43,"&gt;250",P36:AA43,"&lt;501")</f>
        <v>1</v>
      </c>
      <c r="AE39" s="27">
        <f>(COUNTIFS(P36:AA43,"&gt;250",P36:AA43,"&lt;501",B36:M43,"=i")+COUNTIFS(P36:AA43,"&gt;250",P36:AA43,"&lt;501",B36:M43,"=i - SEM"))</f>
        <v>1</v>
      </c>
      <c r="AF39" s="28">
        <f>(COUNTIFS(P36:AA43,"&gt;250",P36:AA43,"&lt;501",B36:M43,"=s")+COUNTIFS(P36:AA43,"&gt;250",P36:AA43,"&lt;501",B36:M43,"=s - SEM"))</f>
        <v>0</v>
      </c>
      <c r="AG39" s="30">
        <f>(COUNTIFS(P36:AA43,"&gt;250",P36:AA43,"&lt;501",B36:M43,"=s")+COUNTIFS(P36:AA43,"&gt;250",P36:AA43,"&lt;501",B36:M43,"=s - SEM"))</f>
        <v>0</v>
      </c>
      <c r="AH39" s="10"/>
    </row>
    <row r="40" spans="1:34">
      <c r="A40" s="16" t="s">
        <v>40</v>
      </c>
      <c r="B40" s="18" t="s">
        <v>17</v>
      </c>
      <c r="C40" s="21" t="s">
        <v>17</v>
      </c>
      <c r="D40" s="18" t="s">
        <v>17</v>
      </c>
      <c r="E40" s="18" t="s">
        <v>17</v>
      </c>
      <c r="F40" s="18" t="s">
        <v>18</v>
      </c>
      <c r="G40" s="21" t="s">
        <v>17</v>
      </c>
      <c r="H40" s="21" t="s">
        <v>66</v>
      </c>
      <c r="I40" s="21" t="s">
        <v>17</v>
      </c>
      <c r="J40" s="21" t="s">
        <v>18</v>
      </c>
      <c r="K40" s="21" t="s">
        <v>18</v>
      </c>
      <c r="L40" s="21" t="s">
        <v>18</v>
      </c>
      <c r="M40" s="21" t="s">
        <v>17</v>
      </c>
      <c r="N40" s="6"/>
      <c r="O40" s="23" t="s">
        <v>40</v>
      </c>
      <c r="P40" s="46" t="s">
        <v>37</v>
      </c>
      <c r="Q40" s="18">
        <v>39</v>
      </c>
      <c r="R40" s="46">
        <v>50</v>
      </c>
      <c r="S40" s="18">
        <v>112</v>
      </c>
      <c r="T40" s="18">
        <v>90</v>
      </c>
      <c r="U40" s="18">
        <v>68</v>
      </c>
      <c r="V40" s="18">
        <v>137</v>
      </c>
      <c r="W40" s="18">
        <v>74</v>
      </c>
      <c r="X40" s="18">
        <v>73</v>
      </c>
      <c r="Y40" s="18">
        <v>62</v>
      </c>
      <c r="Z40" s="18">
        <v>136</v>
      </c>
      <c r="AA40" s="18">
        <v>26</v>
      </c>
      <c r="AB40" s="10"/>
      <c r="AC40" s="25" t="s">
        <v>41</v>
      </c>
      <c r="AD40" s="31">
        <f>COUNTIF(P36:AA43,"&gt;500")</f>
        <v>0</v>
      </c>
      <c r="AE40" s="27">
        <f>COUNTIFS(P36:AA43,"&gt;500",B36:M43,"=i")</f>
        <v>0</v>
      </c>
      <c r="AF40" s="28">
        <f>COUNTIFS(P36:AA43,"&gt;500",B36:M43,"=s")</f>
        <v>0</v>
      </c>
      <c r="AG40" s="30">
        <f>COUNTIFS(P36:AA43,"&gt;500",B36:M43,"=g")</f>
        <v>0</v>
      </c>
      <c r="AH40" s="10"/>
    </row>
    <row r="41" spans="1:34">
      <c r="A41" s="16" t="s">
        <v>42</v>
      </c>
      <c r="B41" s="18" t="s">
        <v>17</v>
      </c>
      <c r="C41" s="21" t="s">
        <v>17</v>
      </c>
      <c r="D41" s="18" t="s">
        <v>17</v>
      </c>
      <c r="E41" s="18" t="s">
        <v>17</v>
      </c>
      <c r="F41" s="18" t="s">
        <v>18</v>
      </c>
      <c r="G41" s="21" t="s">
        <v>53</v>
      </c>
      <c r="H41" s="21" t="s">
        <v>17</v>
      </c>
      <c r="I41" s="21" t="s">
        <v>18</v>
      </c>
      <c r="J41" s="21" t="s">
        <v>17</v>
      </c>
      <c r="K41" s="21" t="s">
        <v>17</v>
      </c>
      <c r="L41" s="21" t="s">
        <v>18</v>
      </c>
      <c r="M41" s="21" t="s">
        <v>18</v>
      </c>
      <c r="N41" s="6"/>
      <c r="O41" s="23" t="s">
        <v>42</v>
      </c>
      <c r="P41" s="18">
        <v>79</v>
      </c>
      <c r="Q41" s="18">
        <v>47</v>
      </c>
      <c r="R41" s="46">
        <v>45</v>
      </c>
      <c r="S41" s="18">
        <v>134</v>
      </c>
      <c r="T41" s="18">
        <v>53</v>
      </c>
      <c r="U41" s="18">
        <v>117</v>
      </c>
      <c r="V41" s="18">
        <v>96</v>
      </c>
      <c r="W41" s="18">
        <v>128</v>
      </c>
      <c r="X41" s="18">
        <v>54</v>
      </c>
      <c r="Y41" s="18">
        <v>22</v>
      </c>
      <c r="Z41" s="18">
        <v>87</v>
      </c>
      <c r="AA41" s="18">
        <v>131</v>
      </c>
      <c r="AB41" s="10"/>
      <c r="AC41" s="10"/>
      <c r="AD41" s="10">
        <f>SUM(AD36:AD40)</f>
        <v>86</v>
      </c>
      <c r="AE41" s="10"/>
      <c r="AF41" s="10"/>
      <c r="AG41" s="10"/>
      <c r="AH41" s="10"/>
    </row>
    <row r="42" spans="1:34">
      <c r="A42" s="16" t="s">
        <v>43</v>
      </c>
      <c r="B42" s="18" t="s">
        <v>17</v>
      </c>
      <c r="C42" s="18" t="s">
        <v>17</v>
      </c>
      <c r="D42" s="18" t="s">
        <v>17</v>
      </c>
      <c r="E42" s="18" t="s">
        <v>66</v>
      </c>
      <c r="F42" s="18" t="s">
        <v>17</v>
      </c>
      <c r="G42" s="18" t="s">
        <v>17</v>
      </c>
      <c r="H42" s="21" t="s">
        <v>17</v>
      </c>
      <c r="I42" s="21" t="s">
        <v>18</v>
      </c>
      <c r="J42" s="21" t="s">
        <v>18</v>
      </c>
      <c r="K42" s="21" t="s">
        <v>17</v>
      </c>
      <c r="L42" s="21" t="s">
        <v>17</v>
      </c>
      <c r="M42" s="21" t="s">
        <v>17</v>
      </c>
      <c r="N42" s="6"/>
      <c r="O42" s="23" t="s">
        <v>43</v>
      </c>
      <c r="P42" s="18">
        <v>79</v>
      </c>
      <c r="Q42" s="18">
        <v>43</v>
      </c>
      <c r="R42" s="46">
        <v>43</v>
      </c>
      <c r="S42" s="18">
        <v>156</v>
      </c>
      <c r="T42" s="18">
        <v>50</v>
      </c>
      <c r="U42" s="46" t="s">
        <v>37</v>
      </c>
      <c r="V42" s="18">
        <v>50</v>
      </c>
      <c r="W42" s="18">
        <v>88</v>
      </c>
      <c r="X42" s="18">
        <v>120</v>
      </c>
      <c r="Y42" s="18">
        <v>110</v>
      </c>
      <c r="Z42" s="18">
        <v>48</v>
      </c>
      <c r="AA42" s="18">
        <v>93</v>
      </c>
      <c r="AB42" s="10"/>
      <c r="AC42" s="10"/>
      <c r="AD42" s="10"/>
      <c r="AE42" s="10"/>
      <c r="AF42" s="10"/>
      <c r="AG42" s="10"/>
      <c r="AH42" s="10"/>
    </row>
    <row r="43" spans="1:34">
      <c r="A43" s="16" t="s">
        <v>47</v>
      </c>
      <c r="B43" s="18" t="s">
        <v>17</v>
      </c>
      <c r="C43" s="18" t="s">
        <v>18</v>
      </c>
      <c r="D43" s="18" t="s">
        <v>17</v>
      </c>
      <c r="E43" s="18" t="s">
        <v>86</v>
      </c>
      <c r="F43" s="18" t="s">
        <v>17</v>
      </c>
      <c r="G43" s="18" t="s">
        <v>17</v>
      </c>
      <c r="H43" s="21" t="s">
        <v>17</v>
      </c>
      <c r="I43" s="21" t="s">
        <v>17</v>
      </c>
      <c r="J43" s="21" t="s">
        <v>17</v>
      </c>
      <c r="K43" s="21" t="s">
        <v>18</v>
      </c>
      <c r="L43" s="18" t="s">
        <v>18</v>
      </c>
      <c r="M43" s="18" t="s">
        <v>35</v>
      </c>
      <c r="N43" s="6"/>
      <c r="O43" s="23" t="s">
        <v>47</v>
      </c>
      <c r="P43" s="18">
        <v>63</v>
      </c>
      <c r="Q43" s="18">
        <v>67</v>
      </c>
      <c r="R43" s="46">
        <v>62</v>
      </c>
      <c r="S43" s="18">
        <v>136</v>
      </c>
      <c r="T43" s="18">
        <v>45</v>
      </c>
      <c r="U43" s="18">
        <v>61</v>
      </c>
      <c r="V43" s="18">
        <v>36</v>
      </c>
      <c r="W43" s="18">
        <v>63</v>
      </c>
      <c r="X43" s="46" t="s">
        <v>37</v>
      </c>
      <c r="Y43" s="18">
        <v>137</v>
      </c>
      <c r="Z43" s="18">
        <v>114</v>
      </c>
      <c r="AA43" s="18">
        <v>47</v>
      </c>
      <c r="AB43" s="10"/>
      <c r="AC43" s="10"/>
      <c r="AD43" s="10"/>
      <c r="AE43" s="10"/>
      <c r="AF43" s="10"/>
      <c r="AG43" s="10"/>
      <c r="AH43" s="10"/>
    </row>
    <row r="44" spans="1:34">
      <c r="P44" s="29"/>
      <c r="Q44" s="29"/>
      <c r="S44" s="29"/>
      <c r="U44" s="29"/>
      <c r="W44" s="29"/>
      <c r="X44" s="29"/>
      <c r="Y44" s="29"/>
      <c r="Z44" s="29"/>
      <c r="AA44" s="29"/>
    </row>
    <row r="45" spans="1:34">
      <c r="A45" s="2" t="s">
        <v>89</v>
      </c>
      <c r="B45" s="2" t="s">
        <v>90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 t="s">
        <v>89</v>
      </c>
      <c r="P45" s="3"/>
      <c r="Q45" s="3"/>
      <c r="R45" s="2"/>
      <c r="S45" s="2"/>
      <c r="T45" s="2"/>
      <c r="U45" s="2"/>
      <c r="V45" s="2"/>
      <c r="W45" s="29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4" t="s">
        <v>3</v>
      </c>
      <c r="B46" s="5">
        <v>1</v>
      </c>
      <c r="C46" s="5">
        <v>2</v>
      </c>
      <c r="D46" s="5">
        <v>3</v>
      </c>
      <c r="E46" s="5">
        <v>4</v>
      </c>
      <c r="F46" s="5">
        <v>5</v>
      </c>
      <c r="G46" s="5">
        <v>6</v>
      </c>
      <c r="H46" s="5">
        <v>7</v>
      </c>
      <c r="I46" s="5">
        <v>8</v>
      </c>
      <c r="J46" s="5">
        <v>9</v>
      </c>
      <c r="K46" s="5">
        <v>10</v>
      </c>
      <c r="L46" s="5">
        <v>11</v>
      </c>
      <c r="M46" s="5">
        <v>12</v>
      </c>
      <c r="N46" s="6"/>
      <c r="O46" s="7" t="s">
        <v>8</v>
      </c>
      <c r="P46" s="8">
        <v>1</v>
      </c>
      <c r="Q46" s="8">
        <v>2</v>
      </c>
      <c r="R46" s="8">
        <v>3</v>
      </c>
      <c r="S46" s="8">
        <v>4</v>
      </c>
      <c r="T46" s="8">
        <v>5</v>
      </c>
      <c r="U46" s="8">
        <v>6</v>
      </c>
      <c r="V46" s="8">
        <v>7</v>
      </c>
      <c r="W46" s="8">
        <v>8</v>
      </c>
      <c r="X46" s="8">
        <v>9</v>
      </c>
      <c r="Y46" s="8">
        <v>10</v>
      </c>
      <c r="Z46" s="8">
        <v>11</v>
      </c>
      <c r="AA46" s="8">
        <v>12</v>
      </c>
      <c r="AB46" s="10"/>
      <c r="AC46" s="11" t="s">
        <v>9</v>
      </c>
      <c r="AD46" s="12" t="s">
        <v>10</v>
      </c>
      <c r="AE46" s="13" t="s">
        <v>11</v>
      </c>
      <c r="AF46" s="13" t="s">
        <v>12</v>
      </c>
      <c r="AG46" s="13" t="s">
        <v>13</v>
      </c>
      <c r="AH46" s="14"/>
    </row>
    <row r="47" spans="1:34">
      <c r="A47" s="16" t="s">
        <v>14</v>
      </c>
      <c r="B47" s="18" t="s">
        <v>17</v>
      </c>
      <c r="C47" s="20" t="s">
        <v>18</v>
      </c>
      <c r="D47" s="21" t="s">
        <v>17</v>
      </c>
      <c r="E47" s="18" t="s">
        <v>18</v>
      </c>
      <c r="F47" s="18"/>
      <c r="G47" s="18"/>
      <c r="H47" s="18"/>
      <c r="I47" s="21"/>
      <c r="J47" s="22"/>
      <c r="K47" s="22"/>
      <c r="L47" s="22"/>
      <c r="M47" s="22"/>
      <c r="N47" s="6"/>
      <c r="O47" s="23" t="s">
        <v>14</v>
      </c>
      <c r="P47" s="18">
        <v>57</v>
      </c>
      <c r="Q47" s="18">
        <v>104</v>
      </c>
      <c r="R47" s="46">
        <v>330</v>
      </c>
      <c r="S47" s="18">
        <v>133</v>
      </c>
      <c r="T47" s="49"/>
      <c r="U47" s="24"/>
      <c r="V47" s="24"/>
      <c r="W47" s="24"/>
      <c r="X47" s="24"/>
      <c r="Y47" s="24"/>
      <c r="Z47" s="24"/>
      <c r="AA47" s="24"/>
      <c r="AB47" s="10"/>
      <c r="AC47" s="25" t="s">
        <v>21</v>
      </c>
      <c r="AD47" s="26">
        <f>COUNTIFS(P47:AA54,"&gt;0",P47:AA54,"&lt;51")</f>
        <v>1</v>
      </c>
      <c r="AE47" s="27">
        <f>(COUNTIFS(P47:AA54,"&gt;0",P47:AA54,"&lt;51",B47:M54,"=i")+COUNTIFS(P47:AA54,"&gt;0",P47:AA54,"&lt;51",B47:M54,"=i - SEM")+COUNTIFS(P47:AA54,"&gt;0",P47:AA54,"&lt;51",B47:M54,"i x 2 - SEM"))</f>
        <v>1</v>
      </c>
      <c r="AF47" s="28">
        <f>(COUNTIFS(P47:AA54,"&gt;0",P47:AA54,"&lt;51",B47:M54,"=s")+COUNTIFS(P47:AA54,"&gt;0",P47:AA54,"&lt;51",B47:M54,"=s - SEM")+COUNTIFS(P47:AA54,"&gt;0",P47:AA54,"&lt;51",B47:M54,"s x 2 - SEM"))</f>
        <v>0</v>
      </c>
      <c r="AG47" s="30">
        <f>(COUNTIFS(P47:AA54,"&gt;0",P47:AA54,"&lt;51",B47:M54,"=g")+COUNTIFS(P47:AA54,"&gt;0",P47:AA54,"&lt;51",B47:M54,"=g - SEM"))</f>
        <v>0</v>
      </c>
      <c r="AH47" s="10"/>
    </row>
    <row r="48" spans="1:34">
      <c r="A48" s="16" t="s">
        <v>32</v>
      </c>
      <c r="B48" s="18" t="s">
        <v>17</v>
      </c>
      <c r="C48" s="18" t="s">
        <v>17</v>
      </c>
      <c r="D48" s="18" t="s">
        <v>63</v>
      </c>
      <c r="E48" s="18" t="s">
        <v>66</v>
      </c>
      <c r="F48" s="18"/>
      <c r="G48" s="18"/>
      <c r="H48" s="18"/>
      <c r="I48" s="21"/>
      <c r="J48" s="21"/>
      <c r="K48" s="22"/>
      <c r="L48" s="22"/>
      <c r="M48" s="22"/>
      <c r="N48" s="6"/>
      <c r="O48" s="23" t="s">
        <v>32</v>
      </c>
      <c r="P48" s="46" t="s">
        <v>37</v>
      </c>
      <c r="Q48" s="18">
        <v>40</v>
      </c>
      <c r="R48" s="18">
        <v>289.45299999999997</v>
      </c>
      <c r="S48" s="18">
        <v>278.49299999999999</v>
      </c>
      <c r="T48" s="49"/>
      <c r="U48" s="24"/>
      <c r="V48" s="24"/>
      <c r="W48" s="24"/>
      <c r="X48" s="24"/>
      <c r="Y48" s="24"/>
      <c r="Z48" s="24"/>
      <c r="AA48" s="24"/>
      <c r="AB48" s="10"/>
      <c r="AC48" s="25" t="s">
        <v>33</v>
      </c>
      <c r="AD48" s="31">
        <f>COUNTIFS(P47:AA54,"&gt;50",P47:AA54,"&lt;126")</f>
        <v>8</v>
      </c>
      <c r="AE48" s="27">
        <f>(COUNTIFS(P47:AA54,"&gt;50",P47:AA54,"&lt;126",B47:M54,"=i")+COUNTIFS(P47:AA54,"&gt;50",P47:AA54,"&lt;126",B47:M54,"=i - SEM")+COUNTIFS(P47:AA54,"&gt;0",P47:AA54,"&lt;51",B47:M54,"i x 2 - SEM"))</f>
        <v>4</v>
      </c>
      <c r="AF48" s="28">
        <f>(COUNTIFS(P47:AA54,"&gt;50",P47:AA54,"&lt;126",B47:M54,"=s")+COUNTIFS(P47:AA54,"&gt;50",P47:AA54,"&lt;126",B47:M54,"=s - SEM")+COUNTIFS(P47:AA54,"&gt;0",P47:AA54,"&lt;51",B47:M54,"s x 2 - SEM"))</f>
        <v>4</v>
      </c>
      <c r="AG48" s="30">
        <f>(COUNTIFS(P47:AA54,"&gt;50",P47:AA54,"&lt;126",B47:M54,"=g")+COUNTIFS(P47:AA54,"&gt;50",P47:AA54,"&lt;126",B47:M54,"=g - SEM"))</f>
        <v>0</v>
      </c>
      <c r="AH48" s="10"/>
    </row>
    <row r="49" spans="1:34">
      <c r="A49" s="16" t="s">
        <v>34</v>
      </c>
      <c r="B49" s="18" t="s">
        <v>18</v>
      </c>
      <c r="C49" s="18" t="s">
        <v>17</v>
      </c>
      <c r="D49" s="18" t="s">
        <v>63</v>
      </c>
      <c r="E49" s="18" t="s">
        <v>66</v>
      </c>
      <c r="F49" s="18"/>
      <c r="G49" s="18"/>
      <c r="H49" s="18"/>
      <c r="I49" s="21"/>
      <c r="J49" s="21"/>
      <c r="K49" s="22"/>
      <c r="L49" s="22"/>
      <c r="M49" s="22"/>
      <c r="N49" s="6"/>
      <c r="O49" s="23" t="s">
        <v>34</v>
      </c>
      <c r="P49" s="18">
        <v>116</v>
      </c>
      <c r="Q49" s="18">
        <v>119</v>
      </c>
      <c r="R49" s="18">
        <v>171</v>
      </c>
      <c r="S49" s="18">
        <v>156</v>
      </c>
      <c r="T49" s="49"/>
      <c r="U49" s="24"/>
      <c r="V49" s="24"/>
      <c r="W49" s="24"/>
      <c r="X49" s="24"/>
      <c r="Y49" s="24"/>
      <c r="Z49" s="24"/>
      <c r="AA49" s="24"/>
      <c r="AB49" s="10"/>
      <c r="AC49" s="25" t="s">
        <v>36</v>
      </c>
      <c r="AD49" s="31">
        <f>COUNTIFS(P47:AA54,"&gt;125",P47:AA54,"&lt;251")</f>
        <v>11</v>
      </c>
      <c r="AE49" s="27">
        <f>(COUNTIFS(P47:AA54,"&gt;125",P47:AA54,"&lt;251",B47:M54,"=i")+COUNTIFS(P47:AA54,"&gt;125",P47:AA54,"&lt;251",B47:M54,"=i - SEM")+COUNTIFS(P47:AA54,"&gt;0",P47:AA54,"&lt;51",B47:M54,"i x 2 - SEM"))</f>
        <v>4</v>
      </c>
      <c r="AF49" s="28">
        <f>(COUNTIFS(P47:AA54,"&gt;125",P47:AA54,"&lt;251",B47:M54,"=s")+COUNTIFS(P47:AA54,"&gt;125",P47:AA54,"&lt;251",B47:M54,"=s - SEM")+COUNTIFS(P47:AA54,"&gt;0",P47:AA54,"&lt;51",B47:M54,"s x 2 - SEM"))</f>
        <v>6</v>
      </c>
      <c r="AG49" s="30">
        <f>(COUNTIFS(P47:AA54,"&gt;125",P47:AA54,"&lt;251",B47:M54,"=g")+COUNTIFS(P47:AA54,"&gt;125",P47:AA54,"&lt;251",B47:M54,"=g - SEM"))</f>
        <v>0</v>
      </c>
      <c r="AH49" s="10"/>
    </row>
    <row r="50" spans="1:34">
      <c r="A50" s="16" t="s">
        <v>38</v>
      </c>
      <c r="B50" s="18" t="s">
        <v>17</v>
      </c>
      <c r="C50" s="18" t="s">
        <v>18</v>
      </c>
      <c r="D50" s="18" t="s">
        <v>63</v>
      </c>
      <c r="E50" s="18" t="s">
        <v>63</v>
      </c>
      <c r="F50" s="18"/>
      <c r="G50" s="18"/>
      <c r="H50" s="21"/>
      <c r="I50" s="21"/>
      <c r="J50" s="21"/>
      <c r="K50" s="22"/>
      <c r="L50" s="22"/>
      <c r="M50" s="22"/>
      <c r="N50" s="6"/>
      <c r="O50" s="23" t="s">
        <v>38</v>
      </c>
      <c r="P50" s="18">
        <v>131</v>
      </c>
      <c r="Q50" s="18">
        <v>100</v>
      </c>
      <c r="R50" s="18">
        <v>206</v>
      </c>
      <c r="S50" s="18">
        <v>205.72900000000001</v>
      </c>
      <c r="T50" s="49"/>
      <c r="U50" s="24"/>
      <c r="V50" s="24"/>
      <c r="W50" s="24"/>
      <c r="X50" s="24"/>
      <c r="Y50" s="24"/>
      <c r="Z50" s="24"/>
      <c r="AA50" s="24"/>
      <c r="AB50" s="10"/>
      <c r="AC50" s="25" t="s">
        <v>39</v>
      </c>
      <c r="AD50" s="31">
        <f>COUNTIFS(P47:AA54,"&gt;250",P47:AA54,"&lt;501")</f>
        <v>6</v>
      </c>
      <c r="AE50" s="27">
        <f>(COUNTIFS(P47:AA54,"&gt;250",P47:AA54,"&lt;501",B47:M54,"=i")+COUNTIFS(P47:AA54,"&gt;250",P47:AA54,"&lt;501",B47:M54,"=i - SEM")+COUNTIFS(P47:AA54,"&gt;0",P47:AA54,"&lt;51",B47:M54,"i x 2 - SEM"))</f>
        <v>2</v>
      </c>
      <c r="AF50" s="28">
        <f>(COUNTIFS(P47:AA54,"&gt;250",P47:AA54,"&lt;501",B47:M54,"=s")+COUNTIFS(P47:AA54,"&gt;250",P47:AA54,"&lt;501",B47:M54,"=s - SEM")+COUNTIFS(P47:AA54,"&gt;0",P47:AA54,"&lt;51",B47:M54,"i x 2 - SEM"))</f>
        <v>1</v>
      </c>
      <c r="AG50" s="30" t="e">
        <f>(COUNTIFS(P47:AA54,"&gt;250",P47:AA54,"&lt;501",B50:M65,"=g")+COUNTIFS(P47:AA54,"&gt;250",P47:AA54,"&lt;501",B47:M54,"=g - SEM"))</f>
        <v>#VALUE!</v>
      </c>
      <c r="AH50" s="10"/>
    </row>
    <row r="51" spans="1:34">
      <c r="A51" s="16" t="s">
        <v>40</v>
      </c>
      <c r="B51" s="18"/>
      <c r="C51" s="21" t="s">
        <v>17</v>
      </c>
      <c r="D51" s="18" t="s">
        <v>91</v>
      </c>
      <c r="E51" s="18"/>
      <c r="F51" s="18"/>
      <c r="G51" s="21"/>
      <c r="H51" s="21"/>
      <c r="I51" s="21"/>
      <c r="J51" s="21"/>
      <c r="K51" s="22"/>
      <c r="L51" s="22"/>
      <c r="M51" s="21" t="s">
        <v>92</v>
      </c>
      <c r="N51" s="6"/>
      <c r="O51" s="23" t="s">
        <v>40</v>
      </c>
      <c r="P51" s="46"/>
      <c r="Q51" s="18">
        <v>72</v>
      </c>
      <c r="R51" s="18">
        <v>267.70800000000003</v>
      </c>
      <c r="S51" s="46"/>
      <c r="T51" s="49"/>
      <c r="U51" s="24"/>
      <c r="V51" s="24"/>
      <c r="W51" s="24"/>
      <c r="X51" s="24"/>
      <c r="Y51" s="24"/>
      <c r="Z51" s="24"/>
      <c r="AA51" s="18">
        <v>241.667</v>
      </c>
      <c r="AB51" s="10"/>
      <c r="AC51" s="25" t="s">
        <v>41</v>
      </c>
      <c r="AD51" s="31">
        <f>COUNTIF(P47:AA54,"&gt;500")</f>
        <v>0</v>
      </c>
      <c r="AE51" s="27">
        <f>COUNTIFS(P47:AA54,"&gt;500",B47:M54,"=i")</f>
        <v>0</v>
      </c>
      <c r="AF51" s="28">
        <f>COUNTIFS(P51:AA66,"&gt;500",B51:M66,"=s")</f>
        <v>0</v>
      </c>
      <c r="AG51" s="30">
        <f>COUNTIFS(P51:AA66,"&gt;500",B51:M66,"=g")</f>
        <v>0</v>
      </c>
      <c r="AH51" s="10"/>
    </row>
    <row r="52" spans="1:34">
      <c r="A52" s="16" t="s">
        <v>42</v>
      </c>
      <c r="B52" s="18" t="s">
        <v>18</v>
      </c>
      <c r="C52" s="21"/>
      <c r="D52" s="18" t="s">
        <v>66</v>
      </c>
      <c r="E52" s="18"/>
      <c r="F52" s="18"/>
      <c r="G52" s="21"/>
      <c r="H52" s="21"/>
      <c r="I52" s="21"/>
      <c r="J52" s="21"/>
      <c r="K52" s="22"/>
      <c r="L52" s="22"/>
      <c r="M52" s="22"/>
      <c r="N52" s="6"/>
      <c r="O52" s="23" t="s">
        <v>42</v>
      </c>
      <c r="P52" s="18">
        <v>128</v>
      </c>
      <c r="Q52" s="46"/>
      <c r="R52" s="18">
        <v>198.88399999999999</v>
      </c>
      <c r="S52" s="46"/>
      <c r="T52" s="49"/>
      <c r="U52" s="24"/>
      <c r="V52" s="24"/>
      <c r="W52" s="24"/>
      <c r="X52" s="24"/>
      <c r="Y52" s="24"/>
      <c r="Z52" s="24"/>
      <c r="AA52" s="24"/>
      <c r="AB52" s="10"/>
      <c r="AC52" s="10"/>
      <c r="AD52" s="10">
        <f>SUM(AD47:AD51)</f>
        <v>26</v>
      </c>
      <c r="AE52" s="10"/>
      <c r="AF52" s="10"/>
      <c r="AG52" s="10"/>
      <c r="AH52" s="10"/>
    </row>
    <row r="53" spans="1:34">
      <c r="A53" s="16" t="s">
        <v>43</v>
      </c>
      <c r="B53" s="18"/>
      <c r="C53" s="18" t="s">
        <v>17</v>
      </c>
      <c r="D53" s="18" t="s">
        <v>66</v>
      </c>
      <c r="E53" s="18"/>
      <c r="F53" s="18"/>
      <c r="G53" s="18"/>
      <c r="H53" s="21"/>
      <c r="I53" s="21"/>
      <c r="J53" s="21"/>
      <c r="K53" s="22"/>
      <c r="L53" s="22"/>
      <c r="M53" s="22"/>
      <c r="N53" s="6"/>
      <c r="O53" s="23" t="s">
        <v>43</v>
      </c>
      <c r="P53" s="46"/>
      <c r="Q53" s="18">
        <v>104</v>
      </c>
      <c r="R53" s="18">
        <v>198</v>
      </c>
      <c r="S53" s="46"/>
      <c r="T53" s="49"/>
      <c r="U53" s="24"/>
      <c r="V53" s="24"/>
      <c r="W53" s="24"/>
      <c r="X53" s="24"/>
      <c r="Y53" s="24"/>
      <c r="Z53" s="24"/>
      <c r="AA53" s="24"/>
      <c r="AB53" s="10"/>
      <c r="AC53" s="10"/>
      <c r="AD53" s="10"/>
      <c r="AE53" s="10"/>
      <c r="AF53" s="10"/>
      <c r="AG53" s="10"/>
      <c r="AH53" s="10"/>
    </row>
    <row r="54" spans="1:34">
      <c r="A54" s="16" t="s">
        <v>47</v>
      </c>
      <c r="B54" s="18" t="s">
        <v>66</v>
      </c>
      <c r="C54" s="18" t="s">
        <v>18</v>
      </c>
      <c r="D54" s="18" t="s">
        <v>78</v>
      </c>
      <c r="E54" s="18"/>
      <c r="F54" s="18"/>
      <c r="G54" s="18"/>
      <c r="H54" s="21"/>
      <c r="I54" s="21"/>
      <c r="J54" s="22"/>
      <c r="K54" s="22"/>
      <c r="L54" s="24"/>
      <c r="M54" s="18" t="s">
        <v>93</v>
      </c>
      <c r="N54" s="6"/>
      <c r="O54" s="23" t="s">
        <v>47</v>
      </c>
      <c r="P54" s="18">
        <v>164</v>
      </c>
      <c r="Q54" s="18">
        <v>108</v>
      </c>
      <c r="R54" s="18">
        <v>262.5</v>
      </c>
      <c r="S54" s="46"/>
      <c r="T54" s="49"/>
      <c r="U54" s="24"/>
      <c r="V54" s="24"/>
      <c r="W54" s="24"/>
      <c r="X54" s="24"/>
      <c r="Y54" s="24"/>
      <c r="Z54" s="24"/>
      <c r="AA54" s="18">
        <v>309.375</v>
      </c>
      <c r="AB54" s="10"/>
      <c r="AC54" s="10"/>
      <c r="AD54" s="10"/>
      <c r="AE54" s="10"/>
      <c r="AF54" s="10"/>
      <c r="AG54" s="10"/>
      <c r="AH54" s="10"/>
    </row>
    <row r="55" spans="1:34">
      <c r="P55" s="29"/>
      <c r="Q55" s="29"/>
      <c r="R55" s="29"/>
      <c r="S55" s="29"/>
    </row>
    <row r="57" spans="1:34">
      <c r="A57" s="29" t="s">
        <v>80</v>
      </c>
      <c r="C57" s="29"/>
      <c r="O57" s="29" t="s">
        <v>80</v>
      </c>
    </row>
    <row r="58" spans="1:34">
      <c r="A58" s="4" t="s">
        <v>3</v>
      </c>
      <c r="B58" s="5">
        <v>1</v>
      </c>
      <c r="C58" s="5">
        <v>2</v>
      </c>
      <c r="D58" s="5">
        <v>3</v>
      </c>
      <c r="E58" s="5">
        <v>4</v>
      </c>
      <c r="F58" s="5">
        <v>5</v>
      </c>
      <c r="G58" s="5">
        <v>6</v>
      </c>
      <c r="H58" s="5">
        <v>7</v>
      </c>
      <c r="I58" s="5">
        <v>8</v>
      </c>
      <c r="J58" s="5">
        <v>9</v>
      </c>
      <c r="K58" s="5">
        <v>10</v>
      </c>
      <c r="L58" s="5">
        <v>11</v>
      </c>
      <c r="M58" s="5">
        <v>12</v>
      </c>
      <c r="O58" s="7" t="s">
        <v>8</v>
      </c>
      <c r="P58" s="8">
        <v>1</v>
      </c>
      <c r="Q58" s="8">
        <v>2</v>
      </c>
      <c r="R58" s="8">
        <v>3</v>
      </c>
      <c r="S58" s="8">
        <v>4</v>
      </c>
      <c r="T58" s="8">
        <v>5</v>
      </c>
      <c r="U58" s="8">
        <v>6</v>
      </c>
      <c r="V58" s="8">
        <v>7</v>
      </c>
      <c r="W58" s="8">
        <v>8</v>
      </c>
      <c r="X58" s="8">
        <v>9</v>
      </c>
      <c r="Y58" s="8">
        <v>10</v>
      </c>
      <c r="Z58" s="8">
        <v>11</v>
      </c>
      <c r="AA58" s="8">
        <v>12</v>
      </c>
      <c r="AC58" s="11" t="s">
        <v>9</v>
      </c>
      <c r="AD58" s="12" t="s">
        <v>10</v>
      </c>
      <c r="AE58" s="13" t="s">
        <v>11</v>
      </c>
      <c r="AF58" s="13" t="s">
        <v>12</v>
      </c>
      <c r="AG58" s="13" t="s">
        <v>13</v>
      </c>
    </row>
    <row r="59" spans="1:34">
      <c r="A59" s="16" t="s">
        <v>14</v>
      </c>
      <c r="B59" s="18"/>
      <c r="C59" s="20"/>
      <c r="D59" s="21"/>
      <c r="E59" s="18"/>
      <c r="F59" s="18"/>
      <c r="G59" s="18"/>
      <c r="H59" s="18" t="s">
        <v>17</v>
      </c>
      <c r="I59" s="21"/>
      <c r="J59" s="22"/>
      <c r="K59" s="22"/>
      <c r="L59" s="22"/>
      <c r="M59" s="22"/>
      <c r="O59" s="23" t="s">
        <v>14</v>
      </c>
      <c r="P59" s="18"/>
      <c r="Q59" s="18"/>
      <c r="R59" s="18"/>
      <c r="S59" s="18"/>
      <c r="T59" s="18"/>
      <c r="U59" s="18"/>
      <c r="V59" s="18" t="s">
        <v>37</v>
      </c>
      <c r="W59" s="18"/>
      <c r="X59" s="18"/>
      <c r="Y59" s="18"/>
      <c r="Z59" s="18"/>
      <c r="AA59" s="18"/>
      <c r="AC59" s="25" t="s">
        <v>21</v>
      </c>
      <c r="AD59" s="26">
        <f>COUNTIFS(P59:AA66,"&gt;0",P59:AA66,"&lt;51")</f>
        <v>0</v>
      </c>
      <c r="AE59" s="27">
        <f>(COUNTIFS(P59:AA66,"&gt;0",P59:AA66,"&lt;51",B59:M66,"=i")+COUNTIFS(P59:AA66,"&gt;0",P59:AA66,"&lt;51",B59:M66,"=i - SEM")+COUNTIFS(P59:AA66,"&gt;0",P59:AA66,"&lt;51",B59:M66,"i (+ 2nd ?)"))</f>
        <v>0</v>
      </c>
      <c r="AF59" s="38">
        <f>(COUNTIFS(P59:AA66,"&gt;0",P59:AA66,"&lt;51",B59:M66,"=s")+COUNTIFS(P59:AA66,"&gt;0",P59:AA66,"&lt;51",B59:M66,"=s - SEM"))</f>
        <v>0</v>
      </c>
      <c r="AG59" s="30">
        <f>(COUNTIFS(P59:AA66,"&gt;0",P59:AA66,"&lt;51",B59:M66,"=g")+COUNTIFS(P59:AA66,"&gt;0",P59:AA66,"&lt;51",B59:M66,"=g - SEM"))</f>
        <v>0</v>
      </c>
    </row>
    <row r="60" spans="1:34">
      <c r="A60" s="16" t="s">
        <v>32</v>
      </c>
      <c r="B60" s="18"/>
      <c r="C60" s="18"/>
      <c r="D60" s="18"/>
      <c r="E60" s="18"/>
      <c r="F60" s="18"/>
      <c r="G60" s="18"/>
      <c r="H60" s="18" t="s">
        <v>17</v>
      </c>
      <c r="I60" s="21"/>
      <c r="J60" s="21"/>
      <c r="K60" s="22"/>
      <c r="L60" s="22"/>
      <c r="M60" s="22"/>
      <c r="O60" s="23" t="s">
        <v>32</v>
      </c>
      <c r="P60" s="18"/>
      <c r="Q60" s="18"/>
      <c r="R60" s="18"/>
      <c r="S60" s="18"/>
      <c r="T60" s="18"/>
      <c r="U60" s="18"/>
      <c r="V60" s="18">
        <v>80</v>
      </c>
      <c r="W60" s="18"/>
      <c r="X60" s="18"/>
      <c r="Y60" s="18"/>
      <c r="Z60" s="18"/>
      <c r="AA60" s="18"/>
      <c r="AC60" s="25" t="s">
        <v>33</v>
      </c>
      <c r="AD60" s="31">
        <f>COUNTIFS(P59:AA66,"&gt;50",P59:AA66,"&lt;126")</f>
        <v>2</v>
      </c>
      <c r="AE60" s="27">
        <f>(COUNTIFS(P59:AA66,"&gt;50",P59:AA66,"&lt;126",B59:M66,"=i")+COUNTIFS(P59:AA66,"&gt;50",P59:AA66,"&lt;126",B59:M66,"=i - SEM")+COUNTIFS(P59:AA66,"&gt;50",P59:AA66,"&lt;126",B59:M66,"i (+ 2nd ?)"))</f>
        <v>2</v>
      </c>
      <c r="AF60" s="28">
        <f>(COUNTIFS(P59:AA66,"&gt;50",P59:AA66,"&lt;126",B59:M66,"=s")+COUNTIFS(P59:AA66,"&gt;50",P59:AA66,"&lt;126",B59:M66,"=s - SEM"))</f>
        <v>0</v>
      </c>
      <c r="AG60" s="30">
        <f>(COUNTIFS(P59:AA66,"&gt;50",P59:AA66,"&lt;126",B59:M66,"=g")+COUNTIFS(P59:AA66,"&gt;50",P59:AA66,"&lt;126",B59:M66,"=g - SEM"))</f>
        <v>0</v>
      </c>
    </row>
    <row r="61" spans="1:34">
      <c r="A61" s="16" t="s">
        <v>34</v>
      </c>
      <c r="B61" s="18"/>
      <c r="C61" s="18"/>
      <c r="D61" s="18"/>
      <c r="E61" s="18"/>
      <c r="F61" s="18"/>
      <c r="G61" s="18"/>
      <c r="H61" s="18" t="s">
        <v>18</v>
      </c>
      <c r="I61" s="21"/>
      <c r="J61" s="21"/>
      <c r="K61" s="22"/>
      <c r="L61" s="22"/>
      <c r="M61" s="22"/>
      <c r="O61" s="23" t="s">
        <v>34</v>
      </c>
      <c r="P61" s="18"/>
      <c r="Q61" s="18"/>
      <c r="R61" s="18"/>
      <c r="S61" s="18"/>
      <c r="T61" s="18"/>
      <c r="U61" s="18"/>
      <c r="V61" s="18">
        <v>393</v>
      </c>
      <c r="W61" s="18"/>
      <c r="X61" s="18"/>
      <c r="Y61" s="18"/>
      <c r="Z61" s="18"/>
      <c r="AA61" s="18"/>
      <c r="AC61" s="25" t="s">
        <v>36</v>
      </c>
      <c r="AD61" s="31">
        <f>COUNTIFS(P59:AA66,"&gt;125",P59:AA66,"&lt;251")</f>
        <v>0</v>
      </c>
      <c r="AE61" s="27">
        <f>(COUNTIFS(P59:AA66,"&gt;125",P59:AA66,"&lt;251",B59:M66,"=i")+COUNTIFS(P59:AA66,"&gt;125",P59:AA66,"&lt;251",B59:M66,"=i - SEM")+COUNTIFS(P59:AA66,"&gt;125",P59:AA66,"&lt;251",B59:M66,"i (+ 2nd ?)"))</f>
        <v>0</v>
      </c>
      <c r="AF61" s="28">
        <f>(COUNTIFS(P59:AA66,"&gt;125",P59:AA66,"&lt;251",B59:M66,"=s")+COUNTIFS(P59:AA66,"&gt;125",P59:AA66,"&lt;251",B59:M66,"=s - SEM"))</f>
        <v>0</v>
      </c>
      <c r="AG61" s="30">
        <f>COUNTIFS(P61:AA68,"&gt;125",P61:AA68,"&lt;251",B61:M68,"=g")</f>
        <v>0</v>
      </c>
    </row>
    <row r="62" spans="1:34">
      <c r="A62" s="16" t="s">
        <v>38</v>
      </c>
      <c r="B62" s="18"/>
      <c r="C62" s="18"/>
      <c r="D62" s="18"/>
      <c r="E62" s="18"/>
      <c r="F62" s="18"/>
      <c r="G62" s="18"/>
      <c r="H62" s="21" t="s">
        <v>17</v>
      </c>
      <c r="I62" s="21"/>
      <c r="J62" s="21"/>
      <c r="K62" s="22"/>
      <c r="L62" s="22"/>
      <c r="M62" s="22"/>
      <c r="O62" s="23" t="s">
        <v>38</v>
      </c>
      <c r="P62" s="18"/>
      <c r="Q62" s="18"/>
      <c r="R62" s="18"/>
      <c r="S62" s="18"/>
      <c r="T62" s="18"/>
      <c r="U62" s="18"/>
      <c r="V62" s="18">
        <v>56</v>
      </c>
      <c r="W62" s="18"/>
      <c r="X62" s="18"/>
      <c r="Y62" s="18"/>
      <c r="Z62" s="18"/>
      <c r="AA62" s="18"/>
      <c r="AC62" s="25" t="s">
        <v>39</v>
      </c>
      <c r="AD62" s="31">
        <f>COUNTIFS(P59:AA66,"&gt;250",P59:AA66,"&lt;501")</f>
        <v>1</v>
      </c>
      <c r="AE62" s="27">
        <f>(COUNTIFS(P59:AA66,"&gt;250",P59:AA66,"&lt;501",B59:M66,"=i")+COUNTIFS(P59:AA66,"&gt;250",P59:AA66,"&lt;501",B59:M66,"=i - SEM")+COUNTIFS(P59:AA66,"&gt;250",P59:AA66,"&lt;501",B59:M66,"i (+ 2nd ?)"))</f>
        <v>0</v>
      </c>
      <c r="AF62" s="28">
        <f>(COUNTIFS(P59:AA66,"&gt;250",P59:AA66,"&lt;501",B59:M66,"=s")+COUNTIFS(P59:AA66,"&gt;250",P59:AA66,"&lt;501",B59:M66,"=s - SEM"))</f>
        <v>1</v>
      </c>
      <c r="AG62" s="30">
        <f>(COUNTIFS(P59:AA66,"&gt;250",P59:AA66,"&lt;501",B59:M66,"=s")+COUNTIFS(P59:AA66,"&gt;250",P59:AA66,"&lt;501",B59:M66,"=s - SEM"))</f>
        <v>1</v>
      </c>
    </row>
    <row r="63" spans="1:34">
      <c r="A63" s="16" t="s">
        <v>40</v>
      </c>
      <c r="B63" s="18"/>
      <c r="C63" s="21"/>
      <c r="D63" s="18"/>
      <c r="E63" s="18"/>
      <c r="F63" s="18"/>
      <c r="G63" s="21"/>
      <c r="H63" s="21"/>
      <c r="I63" s="21"/>
      <c r="J63" s="21"/>
      <c r="K63" s="22"/>
      <c r="L63" s="22"/>
      <c r="M63" s="22"/>
      <c r="O63" s="23" t="s">
        <v>40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C63" s="25" t="s">
        <v>41</v>
      </c>
      <c r="AD63" s="31">
        <f>COUNTIF(P59:AA66,"&gt;500")</f>
        <v>0</v>
      </c>
      <c r="AE63" s="27">
        <f>COUNTIFS(P59:AA66,"&gt;500",B59:M66,"=i")</f>
        <v>0</v>
      </c>
      <c r="AF63" s="28">
        <f>COUNTIFS(P59:AA66,"&gt;500",B59:M66,"=s")</f>
        <v>0</v>
      </c>
      <c r="AG63" s="30">
        <f>COUNTIFS(P59:AA66,"&gt;500",B59:M66,"=g")</f>
        <v>0</v>
      </c>
    </row>
    <row r="64" spans="1:34">
      <c r="A64" s="16" t="s">
        <v>42</v>
      </c>
      <c r="B64" s="18"/>
      <c r="C64" s="21"/>
      <c r="D64" s="18"/>
      <c r="E64" s="18"/>
      <c r="F64" s="18"/>
      <c r="G64" s="21"/>
      <c r="H64" s="21"/>
      <c r="I64" s="21"/>
      <c r="J64" s="21"/>
      <c r="K64" s="22"/>
      <c r="L64" s="22"/>
      <c r="M64" s="22"/>
      <c r="O64" s="23" t="s">
        <v>42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C64" s="10"/>
      <c r="AD64" s="10">
        <f>SUM(AD59:AD63)</f>
        <v>3</v>
      </c>
      <c r="AE64" s="10"/>
      <c r="AF64" s="10"/>
      <c r="AG64" s="10"/>
    </row>
    <row r="65" spans="1:33">
      <c r="A65" s="16" t="s">
        <v>43</v>
      </c>
      <c r="B65" s="18"/>
      <c r="C65" s="18"/>
      <c r="D65" s="18"/>
      <c r="E65" s="18"/>
      <c r="F65" s="18"/>
      <c r="G65" s="18"/>
      <c r="H65" s="21"/>
      <c r="I65" s="21"/>
      <c r="J65" s="21"/>
      <c r="K65" s="22"/>
      <c r="L65" s="22"/>
      <c r="M65" s="22"/>
      <c r="O65" s="23" t="s">
        <v>43</v>
      </c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33">
      <c r="A66" s="16" t="s">
        <v>47</v>
      </c>
      <c r="B66" s="18"/>
      <c r="C66" s="18"/>
      <c r="D66" s="18"/>
      <c r="E66" s="18"/>
      <c r="F66" s="18"/>
      <c r="G66" s="18"/>
      <c r="H66" s="21"/>
      <c r="I66" s="21"/>
      <c r="J66" s="22"/>
      <c r="K66" s="22"/>
      <c r="L66" s="18"/>
      <c r="M66" s="18"/>
      <c r="O66" s="23" t="s">
        <v>47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8" spans="1:33">
      <c r="V68" s="29"/>
      <c r="AE68" s="29" t="s">
        <v>95</v>
      </c>
    </row>
    <row r="69" spans="1:33">
      <c r="A69" s="203" t="s">
        <v>705</v>
      </c>
      <c r="AC69" s="11" t="s">
        <v>9</v>
      </c>
      <c r="AD69" s="12" t="s">
        <v>10</v>
      </c>
      <c r="AE69" s="13" t="s">
        <v>11</v>
      </c>
      <c r="AF69" s="13" t="s">
        <v>12</v>
      </c>
      <c r="AG69" s="13" t="s">
        <v>13</v>
      </c>
    </row>
    <row r="70" spans="1:33">
      <c r="AC70" s="25" t="s">
        <v>21</v>
      </c>
      <c r="AD70" s="39">
        <f>SUM(AD47,AD36,AD25,AD14,AD3)</f>
        <v>113</v>
      </c>
      <c r="AE70" s="50">
        <f>SUM(AE47,AE36,AE25,AE14,AE3)</f>
        <v>97</v>
      </c>
      <c r="AF70" s="51">
        <f>SUM(AF47,AF36,AF25,AF14,AF3)</f>
        <v>6</v>
      </c>
      <c r="AG70" s="52">
        <f>SUM(AG47,AG36,AG25,AG14,AG3)</f>
        <v>0</v>
      </c>
    </row>
    <row r="71" spans="1:33">
      <c r="AC71" s="25" t="s">
        <v>33</v>
      </c>
      <c r="AD71" s="39">
        <f>SUM(AD48,AD37,AD26,AD15,AD4)</f>
        <v>107</v>
      </c>
      <c r="AE71" s="50">
        <f>SUM(AE48,AE37,AE26,AE15,AE4)</f>
        <v>78</v>
      </c>
      <c r="AF71" s="51">
        <f>SUM(AF48,AF37,AF26,AF15,AF4)</f>
        <v>26</v>
      </c>
      <c r="AG71" s="52">
        <f>SUM(AG48,AG37,AG26,AG15,AG4)</f>
        <v>1</v>
      </c>
    </row>
    <row r="72" spans="1:33">
      <c r="AC72" s="25" t="s">
        <v>36</v>
      </c>
      <c r="AD72" s="39">
        <f>SUM(AD49,AD38,AD27,AD16,AD5)</f>
        <v>58</v>
      </c>
      <c r="AE72" s="50">
        <f>SUM(AE49,AE38,AE27,AE16,AE5)</f>
        <v>21</v>
      </c>
      <c r="AF72" s="51">
        <f>SUM(AF49,AF38,AF27,AF16,AF5)</f>
        <v>32</v>
      </c>
      <c r="AG72" s="52">
        <f>SUM(AG49,AG38,AG27,AG16,AG5)</f>
        <v>2</v>
      </c>
    </row>
    <row r="73" spans="1:33">
      <c r="AC73" s="25" t="s">
        <v>39</v>
      </c>
      <c r="AD73" s="39">
        <f>SUM(AD50,AD39,AD28,AD17,AD6)</f>
        <v>20</v>
      </c>
      <c r="AE73" s="50">
        <f>SUM(AE50,AE39,AE28,AE17,AE6)</f>
        <v>10</v>
      </c>
      <c r="AF73" s="51">
        <f>SUM(AF50,AF39,AF28,AF17,AF6)</f>
        <v>7</v>
      </c>
      <c r="AG73" s="52" t="e">
        <f>SUM(AG50,AG39,AG28,AG17,AG6)</f>
        <v>#VALUE!</v>
      </c>
    </row>
    <row r="74" spans="1:33">
      <c r="AC74" s="25" t="s">
        <v>41</v>
      </c>
      <c r="AD74" s="39">
        <f>SUM(AD51,AD40,AD29,AD18,AD7)</f>
        <v>0</v>
      </c>
      <c r="AE74" s="50">
        <f>SUM(AE51,AE40,AE29,AE18,AE7)</f>
        <v>0</v>
      </c>
      <c r="AF74" s="51">
        <f>SUM(AF51,AF40,AF29,AF18,AF7)</f>
        <v>0</v>
      </c>
      <c r="AG74" s="52">
        <f>SUM(AG51,AG40,AG29,AG18,AG7)</f>
        <v>0</v>
      </c>
    </row>
    <row r="75" spans="1:33">
      <c r="AC75" s="10"/>
      <c r="AD75" s="10">
        <f>SUM(AD70:AD74)</f>
        <v>298</v>
      </c>
      <c r="AE75" s="53">
        <f t="shared" ref="AE75:AG75" si="0">SUM(AE70:AE74)</f>
        <v>206</v>
      </c>
      <c r="AF75" s="51">
        <f t="shared" si="0"/>
        <v>71</v>
      </c>
      <c r="AG75" s="52" t="e">
        <f t="shared" si="0"/>
        <v>#VALUE!</v>
      </c>
    </row>
  </sheetData>
  <conditionalFormatting sqref="P3:AA10 P14:AA21 P25:AA32 P36:AA43 P47:AA54 P59:AA66">
    <cfRule type="cellIs" dxfId="90" priority="1" operator="equal">
      <formula>"u"</formula>
    </cfRule>
  </conditionalFormatting>
  <conditionalFormatting sqref="P3:AA10 P14:AA21 P25:AA32 P36:AA43 P47:AA54 P59:AA66">
    <cfRule type="cellIs" dxfId="89" priority="2" operator="equal">
      <formula>"N"</formula>
    </cfRule>
  </conditionalFormatting>
  <conditionalFormatting sqref="B3:M10 B14:M21 B25:M32 B36:M43 B47:M54 B59:M66">
    <cfRule type="endsWith" dxfId="88" priority="3" operator="endsWith" text="SEM">
      <formula>RIGHT((B3),LEN("SEM"))=("SEM")</formula>
    </cfRule>
  </conditionalFormatting>
  <conditionalFormatting sqref="P3:AA10 P14:AA21 P25:AA32 P36:AA43 P47:AA54 P59:AA66">
    <cfRule type="cellIs" dxfId="87" priority="4" operator="equal">
      <formula>"?"</formula>
    </cfRule>
  </conditionalFormatting>
  <conditionalFormatting sqref="P3:AA10 P14:AA21 P25:AA32 P36:AA43 P47:AA54 P59:AA66">
    <cfRule type="cellIs" dxfId="86" priority="5" operator="equal">
      <formula>"X"</formula>
    </cfRule>
  </conditionalFormatting>
  <conditionalFormatting sqref="P3:AA10 P14:AA21 P25:AA32 P36:AA43 P47:AA54 P59:AA66">
    <cfRule type="cellIs" dxfId="85" priority="6" operator="equal">
      <formula>0</formula>
    </cfRule>
  </conditionalFormatting>
  <conditionalFormatting sqref="B3:M10 B14:M21 B25:M32 B36:M43 B47:M54 B59:M66">
    <cfRule type="endsWith" dxfId="84" priority="7" operator="endsWith" text="?">
      <formula>RIGHT((B3),LEN("?"))=("?")</formula>
    </cfRule>
  </conditionalFormatting>
  <conditionalFormatting sqref="B3:M10 P3:AA10 B14:M21 P14:AA21 B25:M32 P25:AA32 B36:M43 P36:AA43 B47:M54 P47:AA54 B59:M66 P59:AA66">
    <cfRule type="notContainsBlanks" dxfId="83" priority="8">
      <formula>LEN(TRIM(B3))&gt;0</formula>
    </cfRule>
  </conditionalFormatting>
  <conditionalFormatting sqref="B3:M10 B14:M21 B25:M32 B36:M43 B47:M54 B59:M66">
    <cfRule type="containsBlanks" dxfId="82" priority="9">
      <formula>LEN(TRIM(B3))=0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Null-1a (Crack) 2000-500</vt:lpstr>
      <vt:lpstr>Null-1a (Crack) 500-250</vt:lpstr>
      <vt:lpstr>Null-1a (Crack) 250-125</vt:lpstr>
      <vt:lpstr>Null-1b (Bowl) 500-250</vt:lpstr>
      <vt:lpstr>Null-1b (Bowl) 250-125</vt:lpstr>
      <vt:lpstr>Null-1c (Control) 2000-250</vt:lpstr>
      <vt:lpstr>Null-1c (Control) 250-125</vt:lpstr>
      <vt:lpstr>Null-3 2000-500</vt:lpstr>
      <vt:lpstr>Null-3 500-250</vt:lpstr>
      <vt:lpstr>Null-3 125-250</vt:lpstr>
      <vt:lpstr>Null-6 2000-500</vt:lpstr>
      <vt:lpstr>Null-6 500-250</vt:lpstr>
      <vt:lpstr>Null-6 250-125</vt:lpstr>
      <vt:lpstr>Null-10</vt:lpstr>
      <vt:lpstr>Null-12 2000-500</vt:lpstr>
      <vt:lpstr>Null-12 500-250</vt:lpstr>
      <vt:lpstr>Null-12 250-125</vt:lpstr>
      <vt:lpstr>EXP 12 250-125 redo</vt:lpstr>
      <vt:lpstr>NUL EXP Count TOTALS</vt:lpstr>
      <vt:lpstr>Nullarbor Sample data</vt:lpstr>
      <vt:lpstr>abundances (MMkg)</vt:lpstr>
      <vt:lpstr>STUB MM Library</vt:lpstr>
      <vt:lpstr>SEM Mounts Nullarbor</vt:lpstr>
      <vt:lpstr>Naming Con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2018-11-27T00:49:38Z</dcterms:created>
  <dcterms:modified xsi:type="dcterms:W3CDTF">2019-04-15T04:00:37Z</dcterms:modified>
</cp:coreProperties>
</file>