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eo\Documents\PhD\OA file\"/>
    </mc:Choice>
  </mc:AlternateContent>
  <bookViews>
    <workbookView xWindow="0" yWindow="0" windowWidth="28800" windowHeight="12435"/>
  </bookViews>
  <sheets>
    <sheet name="Meta" sheetId="1" r:id="rId1"/>
    <sheet name="TGHDL" sheetId="2" r:id="rId2"/>
    <sheet name="BMI" sheetId="3" r:id="rId3"/>
    <sheet name="HbA1C" sheetId="4" r:id="rId4"/>
    <sheet name="BP" sheetId="5" r:id="rId5"/>
    <sheet name="BP&amp;Age" sheetId="6" r:id="rId6"/>
    <sheet name="SmokingBetelnuts" sheetId="7" r:id="rId7"/>
  </sheets>
  <externalReferences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F21" i="7"/>
  <c r="F19" i="7"/>
  <c r="F18" i="7"/>
  <c r="F13" i="7"/>
  <c r="F12" i="7"/>
  <c r="G22" i="7"/>
  <c r="G21" i="7"/>
  <c r="G19" i="7"/>
  <c r="G18" i="7"/>
  <c r="G13" i="7"/>
  <c r="G12" i="7"/>
  <c r="E22" i="7"/>
  <c r="E21" i="7"/>
  <c r="E19" i="7"/>
  <c r="E18" i="7"/>
  <c r="E13" i="7"/>
  <c r="E12" i="7"/>
  <c r="L18" i="7"/>
  <c r="G4" i="7"/>
  <c r="E4" i="7"/>
  <c r="F28" i="7"/>
  <c r="H19" i="7"/>
  <c r="H18" i="7"/>
  <c r="G3" i="7"/>
  <c r="H3" i="7" s="1"/>
  <c r="E3" i="7"/>
  <c r="F27" i="7"/>
  <c r="F30" i="7" s="1"/>
  <c r="K18" i="7"/>
  <c r="G2" i="7"/>
  <c r="H2" i="7" s="1"/>
  <c r="E2" i="7"/>
  <c r="H12" i="7"/>
  <c r="J12" i="7"/>
  <c r="H13" i="7"/>
  <c r="J13" i="7"/>
  <c r="H4" i="7"/>
  <c r="H47" i="7"/>
  <c r="H46" i="7"/>
  <c r="H45" i="7"/>
  <c r="H44" i="7"/>
  <c r="H43" i="7"/>
  <c r="H42" i="7"/>
  <c r="H41" i="7"/>
  <c r="H40" i="7"/>
  <c r="H39" i="7"/>
  <c r="H38" i="7"/>
  <c r="J5" i="7"/>
  <c r="I5" i="7"/>
  <c r="J4" i="7"/>
  <c r="F4" i="7"/>
  <c r="J3" i="7"/>
  <c r="F3" i="7"/>
  <c r="J2" i="7"/>
  <c r="E5" i="7"/>
  <c r="F5" i="7" s="1"/>
  <c r="G5" i="7" l="1"/>
  <c r="H5" i="7" s="1"/>
  <c r="J18" i="7"/>
  <c r="F2" i="7"/>
  <c r="G28" i="6" l="1"/>
  <c r="G27" i="6"/>
  <c r="G26" i="6"/>
  <c r="G25" i="6"/>
  <c r="G24" i="6"/>
  <c r="G23" i="6"/>
  <c r="G22" i="6"/>
  <c r="G21" i="6"/>
  <c r="G19" i="6"/>
  <c r="G18" i="6"/>
  <c r="G17" i="6"/>
  <c r="G16" i="6"/>
  <c r="G15" i="6"/>
  <c r="G14" i="6"/>
  <c r="G13" i="6"/>
  <c r="G12" i="6"/>
  <c r="G11" i="6"/>
  <c r="G10" i="6"/>
  <c r="G9" i="6"/>
  <c r="G8" i="6"/>
  <c r="J9" i="5"/>
  <c r="J8" i="5"/>
  <c r="L6" i="5"/>
  <c r="M6" i="5" s="1"/>
  <c r="M5" i="5"/>
  <c r="J5" i="5"/>
  <c r="K5" i="5" s="1"/>
  <c r="H5" i="5"/>
  <c r="I5" i="5" s="1"/>
  <c r="P4" i="5"/>
  <c r="M4" i="5"/>
  <c r="J4" i="5"/>
  <c r="K4" i="5" s="1"/>
  <c r="H4" i="5"/>
  <c r="I4" i="5" s="1"/>
  <c r="M3" i="5"/>
  <c r="K3" i="5"/>
  <c r="J3" i="5"/>
  <c r="I3" i="5"/>
  <c r="H3" i="5"/>
  <c r="M2" i="5"/>
  <c r="J2" i="5"/>
  <c r="J6" i="5" s="1"/>
  <c r="K6" i="5" s="1"/>
  <c r="H2" i="5"/>
  <c r="H6" i="5" s="1"/>
  <c r="I6" i="5" s="1"/>
  <c r="G14" i="4"/>
  <c r="G13" i="4" s="1"/>
  <c r="F13" i="4"/>
  <c r="G12" i="4"/>
  <c r="G11" i="4"/>
  <c r="F11" i="4"/>
  <c r="G10" i="4"/>
  <c r="H8" i="4"/>
  <c r="G8" i="4"/>
  <c r="F8" i="4"/>
  <c r="I8" i="4" s="1"/>
  <c r="H7" i="4"/>
  <c r="G7" i="4"/>
  <c r="F7" i="4"/>
  <c r="I7" i="4" s="1"/>
  <c r="F4" i="4"/>
  <c r="G4" i="4" s="1"/>
  <c r="F3" i="4"/>
  <c r="G3" i="4" s="1"/>
  <c r="F2" i="4"/>
  <c r="G2" i="4" s="1"/>
  <c r="E29" i="3"/>
  <c r="H20" i="3"/>
  <c r="I20" i="3" s="1"/>
  <c r="F20" i="3"/>
  <c r="G20" i="3" s="1"/>
  <c r="H19" i="3"/>
  <c r="I19" i="3" s="1"/>
  <c r="F19" i="3"/>
  <c r="G19" i="3" s="1"/>
  <c r="H18" i="3"/>
  <c r="I18" i="3" s="1"/>
  <c r="F18" i="3"/>
  <c r="G18" i="3" s="1"/>
  <c r="H17" i="3"/>
  <c r="I17" i="3" s="1"/>
  <c r="F17" i="3"/>
  <c r="G17" i="3" s="1"/>
  <c r="H16" i="3"/>
  <c r="I16" i="3" s="1"/>
  <c r="F16" i="3"/>
  <c r="F21" i="3" s="1"/>
  <c r="G21" i="3" s="1"/>
  <c r="R12" i="3"/>
  <c r="R11" i="3"/>
  <c r="Q11" i="3"/>
  <c r="G11" i="3"/>
  <c r="F11" i="3"/>
  <c r="R10" i="3"/>
  <c r="Q10" i="3"/>
  <c r="G10" i="3"/>
  <c r="F10" i="3"/>
  <c r="R9" i="3"/>
  <c r="F9" i="3"/>
  <c r="G9" i="3" s="1"/>
  <c r="Q8" i="3"/>
  <c r="R8" i="3" s="1"/>
  <c r="F8" i="3"/>
  <c r="G8" i="3" s="1"/>
  <c r="Q7" i="3"/>
  <c r="R7" i="3" s="1"/>
  <c r="F7" i="3"/>
  <c r="G7" i="3" s="1"/>
  <c r="P3" i="3"/>
  <c r="E3" i="3"/>
  <c r="P2" i="3"/>
  <c r="E2" i="3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O7" i="2"/>
  <c r="O8" i="2" s="1"/>
  <c r="C7" i="2"/>
  <c r="C6" i="2"/>
  <c r="O5" i="2"/>
  <c r="P5" i="2" s="1"/>
  <c r="G5" i="2"/>
  <c r="C5" i="2"/>
  <c r="O4" i="2"/>
  <c r="P4" i="2" s="1"/>
  <c r="H4" i="2"/>
  <c r="C4" i="2"/>
  <c r="O3" i="2"/>
  <c r="P3" i="2" s="1"/>
  <c r="H3" i="2"/>
  <c r="C3" i="2"/>
  <c r="H2" i="2"/>
  <c r="C2" i="2"/>
  <c r="I2" i="5" l="1"/>
  <c r="K2" i="5"/>
  <c r="F10" i="4"/>
  <c r="F12" i="3"/>
  <c r="G12" i="3" s="1"/>
  <c r="G16" i="3"/>
  <c r="H21" i="3"/>
  <c r="I21" i="3" s="1"/>
</calcChain>
</file>

<file path=xl/comments1.xml><?xml version="1.0" encoding="utf-8"?>
<comments xmlns="http://schemas.openxmlformats.org/spreadsheetml/2006/main">
  <authors>
    <author>User</author>
    <author>James T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pregnant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James T:</t>
        </r>
        <r>
          <rPr>
            <sz val="9"/>
            <color indexed="81"/>
            <rFont val="Tahoma"/>
            <family val="2"/>
          </rPr>
          <t xml:space="preserve">
Pregnant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Pregnant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Pregnant</t>
        </r>
      </text>
    </comment>
  </commentList>
</comments>
</file>

<file path=xl/comments4.xml><?xml version="1.0" encoding="utf-8"?>
<comments xmlns="http://schemas.openxmlformats.org/spreadsheetml/2006/main">
  <authors>
    <author>User</author>
    <author>Li-Fang Yeo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Pregnant</t>
        </r>
      </text>
    </comment>
    <comment ref="B51" authorId="1" shapeId="0">
      <text>
        <r>
          <rPr>
            <b/>
            <sz val="9"/>
            <color indexed="81"/>
            <rFont val="Tahoma"/>
            <family val="2"/>
          </rPr>
          <t>Li-Fang Yeo:</t>
        </r>
        <r>
          <rPr>
            <sz val="9"/>
            <color indexed="81"/>
            <rFont val="Tahoma"/>
            <family val="2"/>
          </rPr>
          <t xml:space="preserve">
Makan sireh
</t>
        </r>
      </text>
    </comment>
  </commentList>
</comments>
</file>

<file path=xl/sharedStrings.xml><?xml version="1.0" encoding="utf-8"?>
<sst xmlns="http://schemas.openxmlformats.org/spreadsheetml/2006/main" count="1588" uniqueCount="262">
  <si>
    <t>age</t>
  </si>
  <si>
    <t>Jantina</t>
  </si>
  <si>
    <t>Height (m)</t>
  </si>
  <si>
    <t>Weight (kg)</t>
  </si>
  <si>
    <t>BMI</t>
  </si>
  <si>
    <t>Waist (cm)</t>
  </si>
  <si>
    <t>-</t>
  </si>
  <si>
    <t>N/A</t>
  </si>
  <si>
    <t>LSBP1</t>
  </si>
  <si>
    <t>LSBP2</t>
  </si>
  <si>
    <t>LSBPM</t>
  </si>
  <si>
    <t>LDBP1</t>
  </si>
  <si>
    <t>LDBP2</t>
  </si>
  <si>
    <t>LDBPM</t>
  </si>
  <si>
    <t>8 yrs</t>
  </si>
  <si>
    <t>20+ yrs</t>
  </si>
  <si>
    <t>3-4 yrs</t>
  </si>
  <si>
    <t>15 yrs</t>
  </si>
  <si>
    <t>15-18</t>
  </si>
  <si>
    <t>19 yrs</t>
  </si>
  <si>
    <t>10-15</t>
  </si>
  <si>
    <t>10</t>
  </si>
  <si>
    <t>28 yrs</t>
  </si>
  <si>
    <t>17 yrs</t>
  </si>
  <si>
    <t>5-10</t>
  </si>
  <si>
    <t>12 yrs</t>
  </si>
  <si>
    <t>5 yrs</t>
  </si>
  <si>
    <t>?</t>
  </si>
  <si>
    <t>20 x 2/week</t>
  </si>
  <si>
    <t>10 yrs</t>
  </si>
  <si>
    <t>20</t>
  </si>
  <si>
    <t>13 yrs</t>
  </si>
  <si>
    <t>Planning to stop</t>
  </si>
  <si>
    <t>20 yrs</t>
  </si>
  <si>
    <t>1</t>
  </si>
  <si>
    <t>&gt;10 years</t>
  </si>
  <si>
    <t>3</t>
  </si>
  <si>
    <t>18 yrs</t>
  </si>
  <si>
    <t>22 yrs</t>
  </si>
  <si>
    <t>2</t>
  </si>
  <si>
    <t>16 yrs</t>
  </si>
  <si>
    <t>40 yrs</t>
  </si>
  <si>
    <t>21 yrs</t>
  </si>
  <si>
    <t>8</t>
  </si>
  <si>
    <t>5</t>
  </si>
  <si>
    <t>one week ago</t>
  </si>
  <si>
    <t>30s</t>
  </si>
  <si>
    <t>HbA1c %</t>
  </si>
  <si>
    <t>CHOL(mmol/L)</t>
  </si>
  <si>
    <t>HDL(mmol/L)</t>
  </si>
  <si>
    <t>LIP(U/L)</t>
  </si>
  <si>
    <t>LDL(mmol/L)</t>
  </si>
  <si>
    <t>TRIGL(mmol/L)</t>
  </si>
  <si>
    <t>NA</t>
  </si>
  <si>
    <t>N.A = results not available due to deleletion of reagent</t>
  </si>
  <si>
    <t>Smoking status</t>
  </si>
  <si>
    <t>Years smoking</t>
  </si>
  <si>
    <t>no. of cigrattes/day</t>
  </si>
  <si>
    <t>YearsStopped</t>
  </si>
  <si>
    <t>Never</t>
  </si>
  <si>
    <t>Smoker</t>
  </si>
  <si>
    <t>Former</t>
  </si>
  <si>
    <t>Male</t>
  </si>
  <si>
    <t>Female</t>
  </si>
  <si>
    <t>Gender</t>
  </si>
  <si>
    <t>TG/HDL</t>
  </si>
  <si>
    <t xml:space="preserve">Gender </t>
  </si>
  <si>
    <t>Range</t>
  </si>
  <si>
    <t>Frequency</t>
  </si>
  <si>
    <t>%</t>
  </si>
  <si>
    <t>Insulin resistance</t>
  </si>
  <si>
    <t>Ideal</t>
  </si>
  <si>
    <t>High</t>
  </si>
  <si>
    <t>Total</t>
  </si>
  <si>
    <t>0.9-1.7</t>
  </si>
  <si>
    <t>Very high</t>
  </si>
  <si>
    <t>Men</t>
  </si>
  <si>
    <t>Women</t>
  </si>
  <si>
    <t>IR</t>
  </si>
  <si>
    <t>Normal</t>
  </si>
  <si>
    <t>Wasist(cm)</t>
  </si>
  <si>
    <t>Basic stats BMI (n=68)</t>
  </si>
  <si>
    <t>Basic stats Waist (n=67)</t>
  </si>
  <si>
    <t>Min</t>
  </si>
  <si>
    <t xml:space="preserve">Max </t>
  </si>
  <si>
    <t>Max</t>
  </si>
  <si>
    <t>Classification</t>
  </si>
  <si>
    <t>Asian criteria</t>
  </si>
  <si>
    <t>% by gender</t>
  </si>
  <si>
    <t>Underweight</t>
  </si>
  <si>
    <t>&lt;18.5</t>
  </si>
  <si>
    <t>Healthy</t>
  </si>
  <si>
    <t>&lt;90cm</t>
  </si>
  <si>
    <t>18.5-22.9</t>
  </si>
  <si>
    <t>Risk</t>
  </si>
  <si>
    <t>≥90</t>
  </si>
  <si>
    <t>Overweight</t>
  </si>
  <si>
    <t>23-24.9</t>
  </si>
  <si>
    <t>Pre-obese</t>
  </si>
  <si>
    <t>25-29.9</t>
  </si>
  <si>
    <t>&lt;80</t>
  </si>
  <si>
    <t>Obese</t>
  </si>
  <si>
    <r>
      <rPr>
        <sz val="12"/>
        <color rgb="FF000000"/>
        <rFont val="Calibri"/>
        <family val="2"/>
        <charset val="1"/>
      </rPr>
      <t>≥</t>
    </r>
    <r>
      <rPr>
        <sz val="12"/>
        <color rgb="FF000000"/>
        <rFont val="Times New Roman"/>
        <family val="1"/>
        <charset val="1"/>
      </rPr>
      <t>30</t>
    </r>
  </si>
  <si>
    <t>≥80</t>
  </si>
  <si>
    <t>Waist classification</t>
  </si>
  <si>
    <t>%by gender</t>
  </si>
  <si>
    <t>Men %</t>
  </si>
  <si>
    <t>Women %</t>
  </si>
  <si>
    <t>A1C</t>
  </si>
  <si>
    <t>Bin</t>
  </si>
  <si>
    <t>pre-diab</t>
  </si>
  <si>
    <t>normal 4.0-5.6%</t>
  </si>
  <si>
    <t>4.0-5.6</t>
  </si>
  <si>
    <t>pre-d 5.7-6.4%</t>
  </si>
  <si>
    <t>5.7-6.4</t>
  </si>
  <si>
    <t>normal</t>
  </si>
  <si>
    <t>diab ≥6.5%</t>
  </si>
  <si>
    <t>≥6.5</t>
  </si>
  <si>
    <t>IR normal</t>
  </si>
  <si>
    <t>IR at risk</t>
  </si>
  <si>
    <t>diab</t>
  </si>
  <si>
    <t>LSPBM</t>
  </si>
  <si>
    <t>LDPBM</t>
  </si>
  <si>
    <t>Systolic</t>
  </si>
  <si>
    <t>Diastolic</t>
  </si>
  <si>
    <t>M</t>
  </si>
  <si>
    <t>F</t>
  </si>
  <si>
    <t>Whole</t>
  </si>
  <si>
    <t>Normotensive</t>
  </si>
  <si>
    <t>&lt;120 mmHg</t>
  </si>
  <si>
    <t>&lt;80 mmHg</t>
  </si>
  <si>
    <t>Pre-hypertensive</t>
  </si>
  <si>
    <t>120-139 mmHg</t>
  </si>
  <si>
    <t>80-89 mmHg</t>
  </si>
  <si>
    <t>Pre-hype</t>
  </si>
  <si>
    <t>Stage 1</t>
  </si>
  <si>
    <t>140-159 mmHg</t>
  </si>
  <si>
    <t>90-99 mmHg</t>
  </si>
  <si>
    <t>Stage 2</t>
  </si>
  <si>
    <t>&gt;160 mmHg</t>
  </si>
  <si>
    <t>&gt;100 mmHg</t>
  </si>
  <si>
    <t xml:space="preserve">max </t>
  </si>
  <si>
    <t>over 110.5</t>
  </si>
  <si>
    <t>max women</t>
  </si>
  <si>
    <t>over 99</t>
  </si>
  <si>
    <t>Normo</t>
  </si>
  <si>
    <t>*</t>
  </si>
  <si>
    <t>]</t>
  </si>
  <si>
    <t>bin</t>
  </si>
  <si>
    <t>frequency</t>
  </si>
  <si>
    <t>14-23</t>
  </si>
  <si>
    <t>24-33</t>
  </si>
  <si>
    <t>34-43</t>
  </si>
  <si>
    <t>44-53</t>
  </si>
  <si>
    <t>54-66</t>
  </si>
  <si>
    <t>14-23 (n=18)</t>
  </si>
  <si>
    <t>24-33 (n=18)</t>
  </si>
  <si>
    <t>34-43 (n=21)</t>
  </si>
  <si>
    <t>44-53 (n=5)</t>
  </si>
  <si>
    <t>54-66 (n=7)</t>
  </si>
  <si>
    <t>No</t>
  </si>
  <si>
    <t>Smoking</t>
  </si>
  <si>
    <t>Pinang</t>
  </si>
  <si>
    <t>Kadang</t>
  </si>
  <si>
    <t>women</t>
  </si>
  <si>
    <t>Pinang + Current smokers</t>
  </si>
  <si>
    <t>Smoke+Nochew</t>
  </si>
  <si>
    <t>Smoke+Chew</t>
  </si>
  <si>
    <t>Never + No chew</t>
  </si>
  <si>
    <t>Former + no chew</t>
  </si>
  <si>
    <t>Former + chew</t>
  </si>
  <si>
    <t>Pinang + Never</t>
  </si>
  <si>
    <t>Sum</t>
  </si>
  <si>
    <t>Pinang+smokers</t>
  </si>
  <si>
    <t>Pinang + never smoke</t>
  </si>
  <si>
    <t>Pinang + former smokers</t>
  </si>
  <si>
    <t>No pinang + Never smoke</t>
  </si>
  <si>
    <t>No pinang + smoke</t>
  </si>
  <si>
    <t>No pinang + former</t>
  </si>
  <si>
    <t>Betel nut consumption</t>
  </si>
  <si>
    <t>Chew betel nuts</t>
  </si>
  <si>
    <t xml:space="preserve">Smokers </t>
  </si>
  <si>
    <t xml:space="preserve">Never smoke </t>
  </si>
  <si>
    <t xml:space="preserve">Former smokers </t>
  </si>
  <si>
    <t>Don’t chew betel nuts</t>
  </si>
  <si>
    <t>Smokers</t>
  </si>
  <si>
    <t>Never smoke</t>
  </si>
  <si>
    <t>Betel Nut consumption</t>
  </si>
  <si>
    <t>Seldom</t>
  </si>
  <si>
    <t>Always</t>
  </si>
  <si>
    <t>Sometimes</t>
  </si>
  <si>
    <t>Betel Nuts</t>
  </si>
  <si>
    <t>Sample</t>
  </si>
  <si>
    <t>LF001</t>
  </si>
  <si>
    <t>LF002</t>
  </si>
  <si>
    <t>LF003</t>
  </si>
  <si>
    <t>LF004</t>
  </si>
  <si>
    <t>LF005</t>
  </si>
  <si>
    <t>LF006</t>
  </si>
  <si>
    <t>LF007</t>
  </si>
  <si>
    <t>LF008</t>
  </si>
  <si>
    <t>LF009</t>
  </si>
  <si>
    <t>LF010</t>
  </si>
  <si>
    <t>LF011</t>
  </si>
  <si>
    <t>LF012</t>
  </si>
  <si>
    <t>LF013</t>
  </si>
  <si>
    <t>LF072</t>
  </si>
  <si>
    <t>LF015</t>
  </si>
  <si>
    <t>LF016</t>
  </si>
  <si>
    <t>LF017</t>
  </si>
  <si>
    <t>LF018</t>
  </si>
  <si>
    <t>LF019</t>
  </si>
  <si>
    <t>LF020</t>
  </si>
  <si>
    <t>LF021</t>
  </si>
  <si>
    <t>LF022</t>
  </si>
  <si>
    <t>LF023</t>
  </si>
  <si>
    <t>LF024</t>
  </si>
  <si>
    <t>LF025</t>
  </si>
  <si>
    <t>LF026</t>
  </si>
  <si>
    <t>LF027</t>
  </si>
  <si>
    <t>LF028</t>
  </si>
  <si>
    <t>LF029</t>
  </si>
  <si>
    <t>LF030</t>
  </si>
  <si>
    <t>LF031</t>
  </si>
  <si>
    <t>LF032</t>
  </si>
  <si>
    <t>LF033</t>
  </si>
  <si>
    <t>LF034</t>
  </si>
  <si>
    <t>LF035</t>
  </si>
  <si>
    <t>LF036</t>
  </si>
  <si>
    <t>LF037</t>
  </si>
  <si>
    <t>LF038</t>
  </si>
  <si>
    <t>LF039</t>
  </si>
  <si>
    <t>LF040</t>
  </si>
  <si>
    <t>LF041</t>
  </si>
  <si>
    <t>LF042</t>
  </si>
  <si>
    <t>LF043</t>
  </si>
  <si>
    <t>LF044</t>
  </si>
  <si>
    <t>LF045</t>
  </si>
  <si>
    <t>LF046</t>
  </si>
  <si>
    <t>LF047</t>
  </si>
  <si>
    <t>LF048</t>
  </si>
  <si>
    <t>LF049</t>
  </si>
  <si>
    <t>LF051</t>
  </si>
  <si>
    <t>LF052</t>
  </si>
  <si>
    <t>LF053</t>
  </si>
  <si>
    <t>LF054</t>
  </si>
  <si>
    <t>LF055</t>
  </si>
  <si>
    <t>LF056</t>
  </si>
  <si>
    <t>LF057</t>
  </si>
  <si>
    <t>LF059</t>
  </si>
  <si>
    <t>LF060</t>
  </si>
  <si>
    <t>LF061</t>
  </si>
  <si>
    <t>LF062</t>
  </si>
  <si>
    <t>LF063</t>
  </si>
  <si>
    <t>LF064</t>
  </si>
  <si>
    <t>LF065</t>
  </si>
  <si>
    <t>LF066</t>
  </si>
  <si>
    <t>LF067</t>
  </si>
  <si>
    <t>LF068</t>
  </si>
  <si>
    <t>LF069</t>
  </si>
  <si>
    <t>LF070</t>
  </si>
  <si>
    <t>LF071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</si>
</sst>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$#,##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9D18E"/>
        <bgColor rgb="FF92D050"/>
      </patternFill>
    </fill>
    <fill>
      <patternFill patternType="solid">
        <fgColor rgb="FFD6DCE5"/>
        <bgColor rgb="FFDDDDDD"/>
      </patternFill>
    </fill>
    <fill>
      <patternFill patternType="solid">
        <fgColor rgb="FFC9C9C9"/>
        <bgColor rgb="FFBFBFBF"/>
      </patternFill>
    </fill>
    <fill>
      <patternFill patternType="solid">
        <fgColor rgb="FFFFD966"/>
        <bgColor rgb="FFF4B183"/>
      </patternFill>
    </fill>
    <fill>
      <patternFill patternType="solid">
        <fgColor rgb="FF7F7F7F"/>
        <bgColor rgb="FF808080"/>
      </patternFill>
    </fill>
    <fill>
      <patternFill patternType="solid">
        <fgColor rgb="FFAFABAB"/>
        <bgColor rgb="FFA5A5A5"/>
      </patternFill>
    </fill>
    <fill>
      <patternFill patternType="solid">
        <fgColor rgb="FFBFBFBF"/>
        <bgColor rgb="FFC9C9C9"/>
      </patternFill>
    </fill>
    <fill>
      <patternFill patternType="solid">
        <fgColor rgb="FFB4C7E7"/>
        <bgColor rgb="FF9DC3E6"/>
      </patternFill>
    </fill>
    <fill>
      <patternFill patternType="solid">
        <fgColor rgb="FF8FAADC"/>
        <bgColor rgb="FF9DC3E6"/>
      </patternFill>
    </fill>
    <fill>
      <patternFill patternType="solid">
        <fgColor rgb="FFF4B183"/>
        <bgColor rgb="FFFF9999"/>
      </patternFill>
    </fill>
    <fill>
      <patternFill patternType="solid">
        <fgColor rgb="FF8497B0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/>
      <right/>
      <top/>
      <bottom style="medium">
        <color rgb="FFF4B083"/>
      </bottom>
      <diagonal/>
    </border>
    <border>
      <left style="medium">
        <color indexed="64"/>
      </left>
      <right/>
      <top/>
      <bottom style="thick">
        <color rgb="FFF4B083"/>
      </bottom>
      <diagonal/>
    </border>
    <border>
      <left/>
      <right/>
      <top/>
      <bottom style="thick">
        <color rgb="FFF4B083"/>
      </bottom>
      <diagonal/>
    </border>
    <border>
      <left/>
      <right style="medium">
        <color indexed="64"/>
      </right>
      <top/>
      <bottom style="thick">
        <color rgb="FFF4B08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2" fillId="15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2" fontId="2" fillId="15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center"/>
    </xf>
    <xf numFmtId="49" fontId="0" fillId="8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10" borderId="0" xfId="0" applyNumberFormat="1" applyFill="1" applyAlignment="1">
      <alignment horizontal="center"/>
    </xf>
    <xf numFmtId="49" fontId="0" fillId="11" borderId="0" xfId="0" applyNumberFormat="1" applyFill="1" applyAlignment="1">
      <alignment horizontal="center"/>
    </xf>
    <xf numFmtId="49" fontId="0" fillId="12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13" borderId="0" xfId="0" applyNumberFormat="1" applyFill="1" applyAlignment="1">
      <alignment horizontal="center"/>
    </xf>
    <xf numFmtId="49" fontId="0" fillId="14" borderId="0" xfId="0" applyNumberForma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4" xfId="0" applyBorder="1"/>
    <xf numFmtId="164" fontId="0" fillId="0" borderId="4" xfId="0" applyNumberFormat="1" applyBorder="1"/>
    <xf numFmtId="0" fontId="0" fillId="0" borderId="0" xfId="0" applyFont="1" applyAlignment="1" applyProtection="1">
      <alignment horizontal="center"/>
      <protection locked="0"/>
    </xf>
    <xf numFmtId="0" fontId="0" fillId="16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/>
    </xf>
    <xf numFmtId="0" fontId="0" fillId="0" borderId="4" xfId="0" applyFont="1" applyBorder="1"/>
    <xf numFmtId="0" fontId="0" fillId="0" borderId="0" xfId="0" applyBorder="1"/>
    <xf numFmtId="0" fontId="0" fillId="18" borderId="0" xfId="0" applyFont="1" applyFill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164" fontId="0" fillId="0" borderId="0" xfId="0" applyNumberFormat="1" applyBorder="1"/>
    <xf numFmtId="165" fontId="0" fillId="0" borderId="4" xfId="0" applyNumberFormat="1" applyBorder="1"/>
    <xf numFmtId="0" fontId="0" fillId="19" borderId="0" xfId="0" applyFont="1" applyFill="1" applyAlignment="1">
      <alignment horizontal="center"/>
    </xf>
    <xf numFmtId="0" fontId="7" fillId="0" borderId="4" xfId="0" applyFont="1" applyBorder="1" applyAlignment="1">
      <alignment horizontal="justify" vertical="center" wrapText="1"/>
    </xf>
    <xf numFmtId="0" fontId="0" fillId="20" borderId="0" xfId="0" applyFont="1" applyFill="1" applyAlignment="1">
      <alignment horizontal="center"/>
    </xf>
    <xf numFmtId="0" fontId="0" fillId="0" borderId="0" xfId="0" applyAlignment="1">
      <alignment vertical="top"/>
    </xf>
    <xf numFmtId="166" fontId="0" fillId="0" borderId="0" xfId="0" applyNumberFormat="1"/>
    <xf numFmtId="0" fontId="0" fillId="21" borderId="0" xfId="0" applyFont="1" applyFill="1" applyAlignment="1">
      <alignment horizontal="center"/>
    </xf>
    <xf numFmtId="0" fontId="0" fillId="22" borderId="0" xfId="0" applyFont="1" applyFill="1" applyAlignment="1">
      <alignment horizontal="center"/>
    </xf>
    <xf numFmtId="0" fontId="0" fillId="23" borderId="0" xfId="0" applyFont="1" applyFill="1" applyAlignment="1">
      <alignment horizontal="center"/>
    </xf>
    <xf numFmtId="0" fontId="0" fillId="0" borderId="5" xfId="0" applyFont="1" applyFill="1" applyBorder="1"/>
    <xf numFmtId="0" fontId="0" fillId="24" borderId="0" xfId="0" applyFont="1" applyFill="1" applyAlignment="1">
      <alignment horizontal="center"/>
    </xf>
    <xf numFmtId="0" fontId="0" fillId="25" borderId="0" xfId="0" applyFont="1" applyFill="1" applyAlignment="1">
      <alignment horizontal="center"/>
    </xf>
    <xf numFmtId="0" fontId="0" fillId="26" borderId="0" xfId="0" applyFont="1" applyFill="1" applyAlignment="1">
      <alignment horizontal="center"/>
    </xf>
    <xf numFmtId="0" fontId="0" fillId="0" borderId="3" xfId="0" applyFont="1" applyBorder="1"/>
    <xf numFmtId="0" fontId="0" fillId="0" borderId="5" xfId="0" applyBorder="1"/>
    <xf numFmtId="0" fontId="0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/>
    <xf numFmtId="0" fontId="0" fillId="0" borderId="4" xfId="0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Fill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9" fillId="27" borderId="4" xfId="0" applyFont="1" applyFill="1" applyBorder="1" applyAlignment="1">
      <alignment vertical="center"/>
    </xf>
    <xf numFmtId="0" fontId="9" fillId="27" borderId="4" xfId="0" applyFont="1" applyFill="1" applyBorder="1" applyAlignment="1">
      <alignment vertical="center" wrapText="1"/>
    </xf>
    <xf numFmtId="0" fontId="9" fillId="27" borderId="4" xfId="0" applyFont="1" applyFill="1" applyBorder="1" applyAlignment="1">
      <alignment horizontal="right" vertical="center"/>
    </xf>
    <xf numFmtId="0" fontId="9" fillId="28" borderId="6" xfId="0" applyFont="1" applyFill="1" applyBorder="1" applyAlignment="1">
      <alignment vertical="center"/>
    </xf>
    <xf numFmtId="0" fontId="10" fillId="28" borderId="6" xfId="0" applyFont="1" applyFill="1" applyBorder="1" applyAlignment="1">
      <alignment vertical="center" wrapText="1"/>
    </xf>
    <xf numFmtId="0" fontId="10" fillId="28" borderId="6" xfId="0" applyFont="1" applyFill="1" applyBorder="1" applyAlignment="1">
      <alignment vertical="center"/>
    </xf>
    <xf numFmtId="0" fontId="10" fillId="28" borderId="7" xfId="0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49" fontId="0" fillId="29" borderId="0" xfId="0" applyNumberFormat="1" applyFill="1" applyAlignment="1">
      <alignment horizontal="center"/>
    </xf>
    <xf numFmtId="0" fontId="9" fillId="27" borderId="8" xfId="0" applyFont="1" applyFill="1" applyBorder="1" applyAlignment="1">
      <alignment vertical="center"/>
    </xf>
    <xf numFmtId="0" fontId="9" fillId="27" borderId="9" xfId="0" applyFont="1" applyFill="1" applyBorder="1" applyAlignment="1">
      <alignment vertical="center" wrapText="1"/>
    </xf>
    <xf numFmtId="0" fontId="9" fillId="27" borderId="9" xfId="0" applyFont="1" applyFill="1" applyBorder="1" applyAlignment="1">
      <alignment vertical="center"/>
    </xf>
    <xf numFmtId="0" fontId="9" fillId="27" borderId="10" xfId="0" applyFont="1" applyFill="1" applyBorder="1" applyAlignment="1">
      <alignment horizontal="right" vertical="center"/>
    </xf>
    <xf numFmtId="0" fontId="9" fillId="28" borderId="11" xfId="0" applyFont="1" applyFill="1" applyBorder="1" applyAlignment="1">
      <alignment vertical="center"/>
    </xf>
    <xf numFmtId="0" fontId="10" fillId="28" borderId="12" xfId="0" applyFont="1" applyFill="1" applyBorder="1" applyAlignment="1">
      <alignment vertical="center" wrapText="1"/>
    </xf>
    <xf numFmtId="0" fontId="10" fillId="28" borderId="12" xfId="0" applyFont="1" applyFill="1" applyBorder="1" applyAlignment="1">
      <alignment vertical="center"/>
    </xf>
    <xf numFmtId="0" fontId="10" fillId="28" borderId="12" xfId="0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0" fontId="11" fillId="28" borderId="12" xfId="0" applyFont="1" applyFill="1" applyBorder="1" applyAlignment="1">
      <alignment vertical="center"/>
    </xf>
    <xf numFmtId="0" fontId="11" fillId="28" borderId="12" xfId="0" applyFont="1" applyFill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49" fontId="2" fillId="1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[1]IR!$N$7:$N$8</c:f>
              <c:strCache>
                <c:ptCount val="2"/>
                <c:pt idx="0">
                  <c:v>IR</c:v>
                </c:pt>
                <c:pt idx="1">
                  <c:v>Normal</c:v>
                </c:pt>
              </c:strCache>
            </c:strRef>
          </c:cat>
          <c:val>
            <c:numRef>
              <c:f>[1]IR!$P$7:$P$8</c:f>
              <c:numCache>
                <c:formatCode>General</c:formatCode>
                <c:ptCount val="2"/>
                <c:pt idx="0">
                  <c:v>22</c:v>
                </c:pt>
                <c:pt idx="1">
                  <c:v>78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</a:t>
            </a:r>
            <a:r>
              <a:rPr lang="en-GB" baseline="0"/>
              <a:t> Blood pressure chart</a:t>
            </a:r>
            <a:endParaRPr lang="en-GB"/>
          </a:p>
        </c:rich>
      </c:tx>
      <c:layout>
        <c:manualLayout>
          <c:xMode val="edge"/>
          <c:yMode val="edge"/>
          <c:x val="0.20668744531933508"/>
          <c:y val="0.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219816272965883E-2"/>
          <c:y val="5.800925925925926E-2"/>
          <c:w val="0.74981736657917764"/>
          <c:h val="0.70959135316418775"/>
        </c:manualLayout>
      </c:layout>
      <c:barChart>
        <c:barDir val="col"/>
        <c:grouping val="clustered"/>
        <c:varyColors val="0"/>
        <c:ser>
          <c:idx val="0"/>
          <c:order val="0"/>
          <c:tx>
            <c:v>Male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[1]BP!$E$9:$E$12</c:f>
              <c:strCache>
                <c:ptCount val="4"/>
                <c:pt idx="0">
                  <c:v>Normotensive</c:v>
                </c:pt>
                <c:pt idx="1">
                  <c:v>Pre-hypertensive</c:v>
                </c:pt>
                <c:pt idx="2">
                  <c:v>Stage 1</c:v>
                </c:pt>
                <c:pt idx="3">
                  <c:v>Stage 2</c:v>
                </c:pt>
              </c:strCache>
            </c:strRef>
          </c:cat>
          <c:val>
            <c:numRef>
              <c:f>[1]BP!$F$9:$F$12</c:f>
              <c:numCache>
                <c:formatCode>General</c:formatCode>
                <c:ptCount val="4"/>
                <c:pt idx="0">
                  <c:v>21.875</c:v>
                </c:pt>
                <c:pt idx="1">
                  <c:v>43.75</c:v>
                </c:pt>
                <c:pt idx="2">
                  <c:v>28.125</c:v>
                </c:pt>
                <c:pt idx="3">
                  <c:v>6.25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[1]BP!$E$9:$E$12</c:f>
              <c:strCache>
                <c:ptCount val="4"/>
                <c:pt idx="0">
                  <c:v>Normotensive</c:v>
                </c:pt>
                <c:pt idx="1">
                  <c:v>Pre-hypertensive</c:v>
                </c:pt>
                <c:pt idx="2">
                  <c:v>Stage 1</c:v>
                </c:pt>
                <c:pt idx="3">
                  <c:v>Stage 2</c:v>
                </c:pt>
              </c:strCache>
            </c:strRef>
          </c:cat>
          <c:val>
            <c:numRef>
              <c:f>[1]BP!$G$9:$G$12</c:f>
              <c:numCache>
                <c:formatCode>General</c:formatCode>
                <c:ptCount val="4"/>
                <c:pt idx="0">
                  <c:v>18.918918918918919</c:v>
                </c:pt>
                <c:pt idx="1">
                  <c:v>64.86486486486487</c:v>
                </c:pt>
                <c:pt idx="2">
                  <c:v>8.1081081081081088</c:v>
                </c:pt>
                <c:pt idx="3">
                  <c:v>8.1081081081081088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2921512"/>
        <c:axId val="232921904"/>
      </c:barChart>
      <c:catAx>
        <c:axId val="23292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21904"/>
        <c:crosses val="autoZero"/>
        <c:auto val="1"/>
        <c:lblAlgn val="ctr"/>
        <c:lblOffset val="100"/>
        <c:noMultiLvlLbl val="0"/>
      </c:catAx>
      <c:valAx>
        <c:axId val="232921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2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610E6AFC-BF86-4265-BDA6-B1D91627155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1135789E-045A-4B86-ABFF-859FAD056DB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1F0F65-5018-4789-A1EA-08FD42BFA60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76BA0CE9-FF02-4AF7-A894-94DA95B23C5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B89F7F5-CB11-4A5A-A75D-B631738C981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23EBD227-652E-4C0A-9678-3B5BBA824BE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2360450-ED83-4AAA-B333-DBDB4AD8922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C216F306-1F15-44CD-888A-76D8C427D5A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[1]BP!$E$2:$E$5</c:f>
              <c:strCache>
                <c:ptCount val="4"/>
                <c:pt idx="0">
                  <c:v>Normotensive</c:v>
                </c:pt>
                <c:pt idx="1">
                  <c:v>Pre-hypertensive</c:v>
                </c:pt>
                <c:pt idx="2">
                  <c:v>Stage 1</c:v>
                </c:pt>
                <c:pt idx="3">
                  <c:v>Stage 2</c:v>
                </c:pt>
              </c:strCache>
            </c:strRef>
          </c:cat>
          <c:val>
            <c:numRef>
              <c:f>[1]BP!$M$2:$M$5</c:f>
              <c:numCache>
                <c:formatCode>General</c:formatCode>
                <c:ptCount val="4"/>
                <c:pt idx="0">
                  <c:v>20.289855072463769</c:v>
                </c:pt>
                <c:pt idx="1">
                  <c:v>56.521739130434781</c:v>
                </c:pt>
                <c:pt idx="2">
                  <c:v>17.391304347826086</c:v>
                </c:pt>
                <c:pt idx="3">
                  <c:v>5.7971014492753623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Temiar</a:t>
            </a:r>
            <a:r>
              <a:rPr lang="en-GB" baseline="0"/>
              <a:t> age histogram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'[1]BP&amp;Age'!$F$2:$F$6</c:f>
              <c:strCache>
                <c:ptCount val="5"/>
                <c:pt idx="0">
                  <c:v>14-23</c:v>
                </c:pt>
                <c:pt idx="1">
                  <c:v>24-33</c:v>
                </c:pt>
                <c:pt idx="2">
                  <c:v>34-43</c:v>
                </c:pt>
                <c:pt idx="3">
                  <c:v>44-53</c:v>
                </c:pt>
                <c:pt idx="4">
                  <c:v>54-66</c:v>
                </c:pt>
              </c:strCache>
            </c:strRef>
          </c:cat>
          <c:val>
            <c:numRef>
              <c:f>'[1]BP&amp;Age'!$G$2:$G$6</c:f>
              <c:numCache>
                <c:formatCode>General</c:formatCode>
                <c:ptCount val="5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2923080"/>
        <c:axId val="232923472"/>
      </c:barChart>
      <c:catAx>
        <c:axId val="232923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23472"/>
        <c:crosses val="autoZero"/>
        <c:auto val="1"/>
        <c:lblAlgn val="ctr"/>
        <c:lblOffset val="100"/>
        <c:noMultiLvlLbl val="0"/>
      </c:catAx>
      <c:valAx>
        <c:axId val="232923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2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Blood pressure for all age groups</a:t>
            </a:r>
          </a:p>
        </c:rich>
      </c:tx>
      <c:layout>
        <c:manualLayout>
          <c:xMode val="edge"/>
          <c:yMode val="edge"/>
          <c:x val="0.24771776500910359"/>
          <c:y val="0.88753166435748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33144167789836"/>
          <c:y val="5.7363858489894656E-2"/>
          <c:w val="0.70667669244047193"/>
          <c:h val="0.66822068590560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'[1]BP&amp;Age'!$I$17</c:f>
              <c:strCache>
                <c:ptCount val="1"/>
                <c:pt idx="0">
                  <c:v>Normo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'[1]BP&amp;Age'!$H$18:$H$22</c:f>
              <c:strCache>
                <c:ptCount val="5"/>
                <c:pt idx="0">
                  <c:v>14-23 (n=18)</c:v>
                </c:pt>
                <c:pt idx="1">
                  <c:v>24-33 (n=18)</c:v>
                </c:pt>
                <c:pt idx="2">
                  <c:v>34-43 (n=21)</c:v>
                </c:pt>
                <c:pt idx="3">
                  <c:v>44-53 (n=5)</c:v>
                </c:pt>
                <c:pt idx="4">
                  <c:v>54-66 (n=7)</c:v>
                </c:pt>
              </c:strCache>
            </c:strRef>
          </c:cat>
          <c:val>
            <c:numRef>
              <c:f>'[1]BP&amp;Age'!$I$18:$I$22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'[1]BP&amp;Age'!$J$17</c:f>
              <c:strCache>
                <c:ptCount val="1"/>
                <c:pt idx="0">
                  <c:v>Pre-hype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'[1]BP&amp;Age'!$H$18:$H$22</c:f>
              <c:strCache>
                <c:ptCount val="5"/>
                <c:pt idx="0">
                  <c:v>14-23 (n=18)</c:v>
                </c:pt>
                <c:pt idx="1">
                  <c:v>24-33 (n=18)</c:v>
                </c:pt>
                <c:pt idx="2">
                  <c:v>34-43 (n=21)</c:v>
                </c:pt>
                <c:pt idx="3">
                  <c:v>44-53 (n=5)</c:v>
                </c:pt>
                <c:pt idx="4">
                  <c:v>54-66 (n=7)</c:v>
                </c:pt>
              </c:strCache>
            </c:strRef>
          </c:cat>
          <c:val>
            <c:numRef>
              <c:f>'[1]BP&amp;Age'!$J$18:$J$22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'[1]BP&amp;Age'!$K$17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'[1]BP&amp;Age'!$H$18:$H$22</c:f>
              <c:strCache>
                <c:ptCount val="5"/>
                <c:pt idx="0">
                  <c:v>14-23 (n=18)</c:v>
                </c:pt>
                <c:pt idx="1">
                  <c:v>24-33 (n=18)</c:v>
                </c:pt>
                <c:pt idx="2">
                  <c:v>34-43 (n=21)</c:v>
                </c:pt>
                <c:pt idx="3">
                  <c:v>44-53 (n=5)</c:v>
                </c:pt>
                <c:pt idx="4">
                  <c:v>54-66 (n=7)</c:v>
                </c:pt>
              </c:strCache>
            </c:strRef>
          </c:cat>
          <c:val>
            <c:numRef>
              <c:f>'[1]BP&amp;Age'!$K$18:$K$22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'[1]BP&amp;Age'!$L$17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'[1]BP&amp;Age'!$H$18:$H$22</c:f>
              <c:strCache>
                <c:ptCount val="5"/>
                <c:pt idx="0">
                  <c:v>14-23 (n=18)</c:v>
                </c:pt>
                <c:pt idx="1">
                  <c:v>24-33 (n=18)</c:v>
                </c:pt>
                <c:pt idx="2">
                  <c:v>34-43 (n=21)</c:v>
                </c:pt>
                <c:pt idx="3">
                  <c:v>44-53 (n=5)</c:v>
                </c:pt>
                <c:pt idx="4">
                  <c:v>54-66 (n=7)</c:v>
                </c:pt>
              </c:strCache>
            </c:strRef>
          </c:cat>
          <c:val>
            <c:numRef>
              <c:f>'[1]BP&amp;Age'!$L$18:$L$22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2924256"/>
        <c:axId val="233419728"/>
      </c:barChart>
      <c:catAx>
        <c:axId val="23292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19728"/>
        <c:crosses val="autoZero"/>
        <c:auto val="1"/>
        <c:lblAlgn val="ctr"/>
        <c:lblOffset val="100"/>
        <c:noMultiLvlLbl val="0"/>
      </c:catAx>
      <c:valAx>
        <c:axId val="23341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Fig. Smoking status </a:t>
            </a:r>
          </a:p>
        </c:rich>
      </c:tx>
      <c:layout>
        <c:manualLayout>
          <c:xMode val="edge"/>
          <c:yMode val="edge"/>
          <c:x val="0.2701291028658318"/>
          <c:y val="0.8875439840940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14802762200851"/>
          <c:y val="7.846695677559147E-2"/>
          <c:w val="0.70622173150865364"/>
          <c:h val="0.73112150426316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[2]Sheet2!$E$7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[2]Sheet2!$D$8:$D$9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[2]Sheet2!$E$8:$E$9</c:f>
              <c:numCache>
                <c:formatCode>General</c:formatCode>
                <c:ptCount val="2"/>
                <c:pt idx="0">
                  <c:v>18.75</c:v>
                </c:pt>
                <c:pt idx="1">
                  <c:v>81.099999999999994</c:v>
                </c:pt>
              </c:numCache>
            </c:numRef>
          </c:val>
        </c:ser>
        <c:ser>
          <c:idx val="1"/>
          <c:order val="1"/>
          <c:tx>
            <c:strRef>
              <c:f>[2]Sheet2!$F$7</c:f>
              <c:strCache>
                <c:ptCount val="1"/>
                <c:pt idx="0">
                  <c:v>Smoking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[2]Sheet2!$D$8:$D$9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[2]Sheet2!$F$8:$F$9</c:f>
              <c:numCache>
                <c:formatCode>General</c:formatCode>
                <c:ptCount val="2"/>
                <c:pt idx="0">
                  <c:v>65.625</c:v>
                </c:pt>
                <c:pt idx="1">
                  <c:v>18.899999999999999</c:v>
                </c:pt>
              </c:numCache>
            </c:numRef>
          </c:val>
        </c:ser>
        <c:ser>
          <c:idx val="2"/>
          <c:order val="2"/>
          <c:tx>
            <c:strRef>
              <c:f>[2]Sheet2!$G$7</c:f>
              <c:strCache>
                <c:ptCount val="1"/>
                <c:pt idx="0">
                  <c:v>Former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[2]Sheet2!$D$8:$D$9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[2]Sheet2!$G$8:$G$9</c:f>
              <c:numCache>
                <c:formatCode>General</c:formatCode>
                <c:ptCount val="2"/>
                <c:pt idx="0">
                  <c:v>15.625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3420512"/>
        <c:axId val="233420904"/>
      </c:barChart>
      <c:catAx>
        <c:axId val="2334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20904"/>
        <c:crosses val="autoZero"/>
        <c:auto val="1"/>
        <c:lblAlgn val="ctr"/>
        <c:lblOffset val="100"/>
        <c:noMultiLvlLbl val="0"/>
      </c:catAx>
      <c:valAx>
        <c:axId val="233420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cap="none" baseline="0"/>
                  <a:t>Percentage (%)</a:t>
                </a:r>
              </a:p>
            </c:rich>
          </c:tx>
          <c:layout>
            <c:manualLayout>
              <c:xMode val="edge"/>
              <c:yMode val="edge"/>
              <c:x val="2.7060270602706028E-2"/>
              <c:y val="0.409080585118295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[2]Sheet2!$H$37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[2]Sheet2!$D$38:$F$47</c:f>
              <c:multiLvlStrCache>
                <c:ptCount val="10"/>
                <c:lvl>
                  <c:pt idx="0">
                    <c:v>Smokers </c:v>
                  </c:pt>
                  <c:pt idx="1">
                    <c:v>Never smoke </c:v>
                  </c:pt>
                  <c:pt idx="2">
                    <c:v>Former smokers </c:v>
                  </c:pt>
                  <c:pt idx="3">
                    <c:v>Smokers </c:v>
                  </c:pt>
                  <c:pt idx="4">
                    <c:v>Never smoke </c:v>
                  </c:pt>
                  <c:pt idx="5">
                    <c:v>Former smokers </c:v>
                  </c:pt>
                  <c:pt idx="6">
                    <c:v>Smokers</c:v>
                  </c:pt>
                  <c:pt idx="7">
                    <c:v>Never smoke</c:v>
                  </c:pt>
                  <c:pt idx="8">
                    <c:v>Smokers</c:v>
                  </c:pt>
                  <c:pt idx="9">
                    <c:v>Never smoke</c:v>
                  </c:pt>
                </c:lvl>
                <c:lvl>
                  <c:pt idx="0">
                    <c:v>Chew betel nuts</c:v>
                  </c:pt>
                  <c:pt idx="3">
                    <c:v>Don’t chew betel nuts</c:v>
                  </c:pt>
                  <c:pt idx="6">
                    <c:v>Chew betel nuts</c:v>
                  </c:pt>
                  <c:pt idx="8">
                    <c:v>Don’t chew betel nuts</c:v>
                  </c:pt>
                </c:lvl>
                <c:lvl>
                  <c:pt idx="0">
                    <c:v>Men</c:v>
                  </c:pt>
                  <c:pt idx="6">
                    <c:v>Women</c:v>
                  </c:pt>
                </c:lvl>
              </c:multiLvlStrCache>
            </c:multiLvlStrRef>
          </c:cat>
          <c:val>
            <c:numRef>
              <c:f>[2]Sheet2!$H$38:$H$47</c:f>
              <c:numCache>
                <c:formatCode>General</c:formatCode>
                <c:ptCount val="10"/>
                <c:pt idx="0">
                  <c:v>46.875</c:v>
                </c:pt>
                <c:pt idx="1">
                  <c:v>6.25</c:v>
                </c:pt>
                <c:pt idx="2">
                  <c:v>9.375</c:v>
                </c:pt>
                <c:pt idx="3">
                  <c:v>18.75</c:v>
                </c:pt>
                <c:pt idx="4">
                  <c:v>12.5</c:v>
                </c:pt>
                <c:pt idx="5">
                  <c:v>6.25</c:v>
                </c:pt>
                <c:pt idx="6">
                  <c:v>16.216216216216218</c:v>
                </c:pt>
                <c:pt idx="7">
                  <c:v>54.054054054054056</c:v>
                </c:pt>
                <c:pt idx="8">
                  <c:v>2.7027027027027026</c:v>
                </c:pt>
                <c:pt idx="9">
                  <c:v>27.027027027027028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overlap val="-46"/>
        <c:axId val="233422080"/>
        <c:axId val="233422472"/>
      </c:barChart>
      <c:catAx>
        <c:axId val="23342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22472"/>
        <c:crosses val="autoZero"/>
        <c:auto val="1"/>
        <c:lblAlgn val="ctr"/>
        <c:lblOffset val="100"/>
        <c:noMultiLvlLbl val="0"/>
      </c:catAx>
      <c:valAx>
        <c:axId val="233422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220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GB"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Fig 1. Anthropometrics of Temiar</a:t>
            </a:r>
          </a:p>
        </c:rich>
      </c:tx>
      <c:layout>
        <c:manualLayout>
          <c:xMode val="edge"/>
          <c:yMode val="edge"/>
          <c:x val="0.22704229432213199"/>
          <c:y val="0.891933028919330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7821552723101"/>
          <c:y val="0.104008117706748"/>
          <c:w val="0.73377752027809995"/>
          <c:h val="0.6210045662100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[1]Anthropometrics!$O$21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[1]Anthropometrics!$N$22:$N$23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[1]Anthropometrics!$O$22:$O$23</c:f>
              <c:numCache>
                <c:formatCode>General</c:formatCode>
                <c:ptCount val="2"/>
                <c:pt idx="0">
                  <c:v>71.900000000000006</c:v>
                </c:pt>
                <c:pt idx="1">
                  <c:v>28.6</c:v>
                </c:pt>
              </c:numCache>
            </c:numRef>
          </c:val>
        </c:ser>
        <c:ser>
          <c:idx val="1"/>
          <c:order val="1"/>
          <c:tx>
            <c:strRef>
              <c:f>[1]Anthropometrics!$P$21</c:f>
              <c:strCache>
                <c:ptCount val="1"/>
                <c:pt idx="0">
                  <c:v>Risk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[1]Anthropometrics!$N$22:$N$23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[1]Anthropometrics!$P$22:$P$23</c:f>
              <c:numCache>
                <c:formatCode>General</c:formatCode>
                <c:ptCount val="2"/>
                <c:pt idx="0">
                  <c:v>28.1</c:v>
                </c:pt>
                <c:pt idx="1">
                  <c:v>71.400000000000006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126912"/>
        <c:axId val="150127304"/>
      </c:barChart>
      <c:catAx>
        <c:axId val="15012691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GB"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Waist circumference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127304"/>
        <c:crosses val="autoZero"/>
        <c:auto val="1"/>
        <c:lblAlgn val="ctr"/>
        <c:lblOffset val="100"/>
        <c:noMultiLvlLbl val="1"/>
      </c:catAx>
      <c:valAx>
        <c:axId val="150127304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GB"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Percentage (%)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126912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GB"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Fig 1.1 Anthropometrics of Temiar</a:t>
            </a:r>
          </a:p>
        </c:rich>
      </c:tx>
      <c:layout>
        <c:manualLayout>
          <c:xMode val="edge"/>
          <c:yMode val="edge"/>
          <c:x val="0.199316628701595"/>
          <c:y val="0.918236839100147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37552879921901"/>
          <c:y val="8.4960602946214506E-2"/>
          <c:w val="0.61104783599088797"/>
          <c:h val="0.67157702409500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[1]Anthropometrics!$D$32</c:f>
              <c:strCache>
                <c:ptCount val="1"/>
                <c:pt idx="0">
                  <c:v>Underweight</c:v>
                </c:pt>
              </c:strCache>
            </c:strRef>
          </c:tx>
          <c:spPr>
            <a:solidFill>
              <a:srgbClr val="9DC3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[1]Anthropometrics!$E$31:$F$31</c:f>
              <c:strCache>
                <c:ptCount val="2"/>
                <c:pt idx="0">
                  <c:v>Men %</c:v>
                </c:pt>
                <c:pt idx="1">
                  <c:v>Women %</c:v>
                </c:pt>
              </c:strCache>
            </c:strRef>
          </c:cat>
          <c:val>
            <c:numRef>
              <c:f>[1]Anthropometrics!$E$32:$F$32</c:f>
              <c:numCache>
                <c:formatCode>General</c:formatCode>
                <c:ptCount val="2"/>
                <c:pt idx="0">
                  <c:v>12.5</c:v>
                </c:pt>
                <c:pt idx="1">
                  <c:v>8.3333333333333304</c:v>
                </c:pt>
              </c:numCache>
            </c:numRef>
          </c:val>
        </c:ser>
        <c:ser>
          <c:idx val="1"/>
          <c:order val="1"/>
          <c:tx>
            <c:strRef>
              <c:f>[1]Anthropometrics!$D$33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[1]Anthropometrics!$E$31:$F$31</c:f>
              <c:strCache>
                <c:ptCount val="2"/>
                <c:pt idx="0">
                  <c:v>Men %</c:v>
                </c:pt>
                <c:pt idx="1">
                  <c:v>Women %</c:v>
                </c:pt>
              </c:strCache>
            </c:strRef>
          </c:cat>
          <c:val>
            <c:numRef>
              <c:f>[1]Anthropometrics!$E$33:$F$33</c:f>
              <c:numCache>
                <c:formatCode>General</c:formatCode>
                <c:ptCount val="2"/>
                <c:pt idx="0">
                  <c:v>37.5</c:v>
                </c:pt>
                <c:pt idx="1">
                  <c:v>22.2222222222222</c:v>
                </c:pt>
              </c:numCache>
            </c:numRef>
          </c:val>
        </c:ser>
        <c:ser>
          <c:idx val="2"/>
          <c:order val="2"/>
          <c:tx>
            <c:strRef>
              <c:f>[1]Anthropometrics!$D$34</c:f>
              <c:strCache>
                <c:ptCount val="1"/>
                <c:pt idx="0">
                  <c:v>Overweight</c:v>
                </c:pt>
              </c:strCache>
            </c:strRef>
          </c:tx>
          <c:spPr>
            <a:solidFill>
              <a:srgbClr val="A66BD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[1]Anthropometrics!$E$31:$F$31</c:f>
              <c:strCache>
                <c:ptCount val="2"/>
                <c:pt idx="0">
                  <c:v>Men %</c:v>
                </c:pt>
                <c:pt idx="1">
                  <c:v>Women %</c:v>
                </c:pt>
              </c:strCache>
            </c:strRef>
          </c:cat>
          <c:val>
            <c:numRef>
              <c:f>[1]Anthropometrics!$E$34:$F$34</c:f>
              <c:numCache>
                <c:formatCode>General</c:formatCode>
                <c:ptCount val="2"/>
                <c:pt idx="0">
                  <c:v>18.75</c:v>
                </c:pt>
                <c:pt idx="1">
                  <c:v>25</c:v>
                </c:pt>
              </c:numCache>
            </c:numRef>
          </c:val>
        </c:ser>
        <c:ser>
          <c:idx val="3"/>
          <c:order val="3"/>
          <c:tx>
            <c:strRef>
              <c:f>[1]Anthropometrics!$D$35</c:f>
              <c:strCache>
                <c:ptCount val="1"/>
                <c:pt idx="0">
                  <c:v>Pre-obese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[1]Anthropometrics!$E$31:$F$31</c:f>
              <c:strCache>
                <c:ptCount val="2"/>
                <c:pt idx="0">
                  <c:v>Men %</c:v>
                </c:pt>
                <c:pt idx="1">
                  <c:v>Women %</c:v>
                </c:pt>
              </c:strCache>
            </c:strRef>
          </c:cat>
          <c:val>
            <c:numRef>
              <c:f>[1]Anthropometrics!$E$35:$F$35</c:f>
              <c:numCache>
                <c:formatCode>General</c:formatCode>
                <c:ptCount val="2"/>
                <c:pt idx="0">
                  <c:v>31.25</c:v>
                </c:pt>
                <c:pt idx="1">
                  <c:v>33.3333333333333</c:v>
                </c:pt>
              </c:numCache>
            </c:numRef>
          </c:val>
        </c:ser>
        <c:ser>
          <c:idx val="4"/>
          <c:order val="4"/>
          <c:tx>
            <c:strRef>
              <c:f>[1]Anthropometrics!$D$36</c:f>
              <c:strCache>
                <c:ptCount val="1"/>
                <c:pt idx="0">
                  <c:v>Obese</c:v>
                </c:pt>
              </c:strCache>
            </c:strRef>
          </c:tx>
          <c:spPr>
            <a:solidFill>
              <a:srgbClr val="FF5050"/>
            </a:solidFill>
            <a:ln>
              <a:solidFill>
                <a:srgbClr val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[1]Anthropometrics!$E$31:$F$31</c:f>
              <c:strCache>
                <c:ptCount val="2"/>
                <c:pt idx="0">
                  <c:v>Men %</c:v>
                </c:pt>
                <c:pt idx="1">
                  <c:v>Women %</c:v>
                </c:pt>
              </c:strCache>
            </c:strRef>
          </c:cat>
          <c:val>
            <c:numRef>
              <c:f>[1]Anthropometrics!$E$36:$F$36</c:f>
              <c:numCache>
                <c:formatCode>General</c:formatCode>
                <c:ptCount val="2"/>
                <c:pt idx="0">
                  <c:v>0</c:v>
                </c:pt>
                <c:pt idx="1">
                  <c:v>11.1111111111111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"/>
        <c:axId val="152438872"/>
        <c:axId val="152439264"/>
      </c:barChart>
      <c:catAx>
        <c:axId val="15243887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GB"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BMI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2439264"/>
        <c:crosses val="autoZero"/>
        <c:auto val="1"/>
        <c:lblAlgn val="ctr"/>
        <c:lblOffset val="100"/>
        <c:noMultiLvlLbl val="1"/>
      </c:catAx>
      <c:valAx>
        <c:axId val="15243926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GB"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Percentage (%)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2438872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[1]Anthropometrics!$I$30</c:f>
              <c:strCache>
                <c:ptCount val="1"/>
                <c:pt idx="0">
                  <c:v>Men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0.15340179352580927"/>
                  <c:y val="0.113080708661417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[1]Anthropometrics!$J$29:$N$29</c:f>
              <c:strCache>
                <c:ptCount val="5"/>
                <c:pt idx="0">
                  <c:v>Underweight</c:v>
                </c:pt>
                <c:pt idx="1">
                  <c:v>Normal</c:v>
                </c:pt>
                <c:pt idx="2">
                  <c:v>Overweight</c:v>
                </c:pt>
                <c:pt idx="3">
                  <c:v>Pre-obese</c:v>
                </c:pt>
                <c:pt idx="4">
                  <c:v>Obese</c:v>
                </c:pt>
              </c:strCache>
            </c:strRef>
          </c:cat>
          <c:val>
            <c:numRef>
              <c:f>[1]Anthropometrics!$J$30:$N$30</c:f>
              <c:numCache>
                <c:formatCode>General</c:formatCode>
                <c:ptCount val="5"/>
                <c:pt idx="0">
                  <c:v>12.5</c:v>
                </c:pt>
                <c:pt idx="1">
                  <c:v>37.5</c:v>
                </c:pt>
                <c:pt idx="2">
                  <c:v>18.75</c:v>
                </c:pt>
                <c:pt idx="3">
                  <c:v>31.25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Waist circumference</a:t>
            </a:r>
          </a:p>
        </c:rich>
      </c:tx>
      <c:layout>
        <c:manualLayout>
          <c:xMode val="edge"/>
          <c:yMode val="edge"/>
          <c:x val="0.33100776839873114"/>
          <c:y val="0.89247288130730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416666666666664"/>
          <c:y val="0.11342592592592593"/>
          <c:w val="0.46388888888888891"/>
          <c:h val="0.77314814814814814"/>
        </c:manualLayout>
      </c:layout>
      <c:pieChart>
        <c:varyColors val="1"/>
        <c:ser>
          <c:idx val="0"/>
          <c:order val="0"/>
          <c:tx>
            <c:strRef>
              <c:f>[1]Anthropometrics!$I$27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[1]Anthropometrics!$J$26:$K$26</c:f>
              <c:strCache>
                <c:ptCount val="2"/>
                <c:pt idx="0">
                  <c:v>Healthy</c:v>
                </c:pt>
                <c:pt idx="1">
                  <c:v>Risk</c:v>
                </c:pt>
              </c:strCache>
            </c:strRef>
          </c:cat>
          <c:val>
            <c:numRef>
              <c:f>[1]Anthropometrics!$J$27:$K$27</c:f>
              <c:numCache>
                <c:formatCode>General</c:formatCode>
                <c:ptCount val="2"/>
                <c:pt idx="0">
                  <c:v>71.900000000000006</c:v>
                </c:pt>
                <c:pt idx="1">
                  <c:v>28.1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[1]Anthropometrics!$I$32</c:f>
              <c:strCache>
                <c:ptCount val="1"/>
                <c:pt idx="0">
                  <c:v>Women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[1]Anthropometrics!$J$31:$N$31</c:f>
              <c:strCache>
                <c:ptCount val="5"/>
                <c:pt idx="0">
                  <c:v>Underweight</c:v>
                </c:pt>
                <c:pt idx="1">
                  <c:v>Normal</c:v>
                </c:pt>
                <c:pt idx="2">
                  <c:v>Overweight</c:v>
                </c:pt>
                <c:pt idx="3">
                  <c:v>Pre-obese</c:v>
                </c:pt>
                <c:pt idx="4">
                  <c:v>Obese</c:v>
                </c:pt>
              </c:strCache>
            </c:strRef>
          </c:cat>
          <c:val>
            <c:numRef>
              <c:f>[1]Anthropometrics!$J$32:$N$32</c:f>
              <c:numCache>
                <c:formatCode>General</c:formatCode>
                <c:ptCount val="5"/>
                <c:pt idx="0">
                  <c:v>8.3333333333333304</c:v>
                </c:pt>
                <c:pt idx="1">
                  <c:v>22.2222222222222</c:v>
                </c:pt>
                <c:pt idx="2">
                  <c:v>25</c:v>
                </c:pt>
                <c:pt idx="3">
                  <c:v>33.3333333333333</c:v>
                </c:pt>
                <c:pt idx="4">
                  <c:v>11.1111111111111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[1]Anthropometrics!$I$34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[1]Anthropometrics!$J$33:$K$33</c:f>
              <c:strCache>
                <c:ptCount val="2"/>
                <c:pt idx="0">
                  <c:v>Healthy</c:v>
                </c:pt>
                <c:pt idx="1">
                  <c:v>Risk</c:v>
                </c:pt>
              </c:strCache>
            </c:strRef>
          </c:cat>
          <c:val>
            <c:numRef>
              <c:f>[1]Anthropometrics!$J$34:$K$34</c:f>
              <c:numCache>
                <c:formatCode>General</c:formatCode>
                <c:ptCount val="2"/>
                <c:pt idx="0">
                  <c:v>28.6</c:v>
                </c:pt>
                <c:pt idx="1">
                  <c:v>71.400000000000006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GB"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HbA1C level (%) of Temiar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[1]HbA1C!$F$9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DC3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[1]HbA1C!$E$10:$E$14</c:f>
              <c:strCache>
                <c:ptCount val="5"/>
                <c:pt idx="0">
                  <c:v>normal 4.0-5.6%</c:v>
                </c:pt>
                <c:pt idx="1">
                  <c:v>pre-d 5.7-6.4%</c:v>
                </c:pt>
                <c:pt idx="2">
                  <c:v>diab ≥6.5%</c:v>
                </c:pt>
                <c:pt idx="3">
                  <c:v>IR normal</c:v>
                </c:pt>
                <c:pt idx="4">
                  <c:v>IR at risk</c:v>
                </c:pt>
              </c:strCache>
            </c:strRef>
          </c:cat>
          <c:val>
            <c:numRef>
              <c:f>[1]HbA1C!$F$10:$F$14</c:f>
              <c:numCache>
                <c:formatCode>General</c:formatCode>
                <c:ptCount val="5"/>
                <c:pt idx="0">
                  <c:v>46.875</c:v>
                </c:pt>
                <c:pt idx="1">
                  <c:v>53.125</c:v>
                </c:pt>
                <c:pt idx="2">
                  <c:v>0</c:v>
                </c:pt>
                <c:pt idx="3">
                  <c:v>78</c:v>
                </c:pt>
                <c:pt idx="4">
                  <c:v>22</c:v>
                </c:pt>
              </c:numCache>
            </c:numRef>
          </c:val>
        </c:ser>
        <c:ser>
          <c:idx val="1"/>
          <c:order val="1"/>
          <c:tx>
            <c:strRef>
              <c:f>[1]HbA1C!$G$9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[1]HbA1C!$E$10:$E$14</c:f>
              <c:strCache>
                <c:ptCount val="5"/>
                <c:pt idx="0">
                  <c:v>normal 4.0-5.6%</c:v>
                </c:pt>
                <c:pt idx="1">
                  <c:v>pre-d 5.7-6.4%</c:v>
                </c:pt>
                <c:pt idx="2">
                  <c:v>diab ≥6.5%</c:v>
                </c:pt>
                <c:pt idx="3">
                  <c:v>IR normal</c:v>
                </c:pt>
                <c:pt idx="4">
                  <c:v>IR at risk</c:v>
                </c:pt>
              </c:strCache>
            </c:strRef>
          </c:cat>
          <c:val>
            <c:numRef>
              <c:f>[1]HbA1C!$G$10:$G$14</c:f>
              <c:numCache>
                <c:formatCode>General</c:formatCode>
                <c:ptCount val="5"/>
                <c:pt idx="0">
                  <c:v>56.756756756756758</c:v>
                </c:pt>
                <c:pt idx="1">
                  <c:v>37.837837837837839</c:v>
                </c:pt>
                <c:pt idx="2">
                  <c:v>5.4054054054054053</c:v>
                </c:pt>
                <c:pt idx="3">
                  <c:v>89.189189189189193</c:v>
                </c:pt>
                <c:pt idx="4">
                  <c:v>10.810810810810811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"/>
        <c:axId val="152441224"/>
        <c:axId val="152440832"/>
      </c:barChart>
      <c:catAx>
        <c:axId val="15244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2440832"/>
        <c:crosses val="autoZero"/>
        <c:auto val="1"/>
        <c:lblAlgn val="ctr"/>
        <c:lblOffset val="100"/>
        <c:noMultiLvlLbl val="1"/>
      </c:catAx>
      <c:valAx>
        <c:axId val="152440832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GB" sz="1000" b="0" strike="noStrike" spc="-1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Percentage (%)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2441224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Normal, </a:t>
                    </a:r>
                    <a:fld id="{4C2B0D25-C9C4-45BE-A159-5768F6FA5FB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Pre-diabetes, </a:t>
                    </a:r>
                    <a:fld id="{EE64CE29-264B-4515-A80A-BD6C93AFB6C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Diabetes, </a:t>
                    </a:r>
                    <a:fld id="{0BEFD6A3-7D2B-4D2F-8062-BC85E0D98F8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[1]HbA1C!$E$2:$E$4</c:f>
              <c:strCache>
                <c:ptCount val="3"/>
                <c:pt idx="0">
                  <c:v>normal 4.0-5.6%</c:v>
                </c:pt>
                <c:pt idx="1">
                  <c:v>pre-d 5.7-6.4%</c:v>
                </c:pt>
                <c:pt idx="2">
                  <c:v>diab ≥6.5%</c:v>
                </c:pt>
              </c:strCache>
            </c:strRef>
          </c:cat>
          <c:val>
            <c:numRef>
              <c:f>[1]HbA1C!$G$2:$G$4</c:f>
              <c:numCache>
                <c:formatCode>General</c:formatCode>
                <c:ptCount val="3"/>
                <c:pt idx="0">
                  <c:v>52.173913043478258</c:v>
                </c:pt>
                <c:pt idx="1">
                  <c:v>44.927536231884055</c:v>
                </c:pt>
                <c:pt idx="2">
                  <c:v>2.8985507246376812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2</xdr:row>
      <xdr:rowOff>128587</xdr:rowOff>
    </xdr:from>
    <xdr:to>
      <xdr:col>26</xdr:col>
      <xdr:colOff>38100</xdr:colOff>
      <xdr:row>17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113760</xdr:colOff>
      <xdr:row>10</xdr:row>
      <xdr:rowOff>189720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0475" y="1971675"/>
          <a:ext cx="113760" cy="18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1140966</xdr:colOff>
      <xdr:row>37</xdr:row>
      <xdr:rowOff>11210</xdr:rowOff>
    </xdr:from>
    <xdr:to>
      <xdr:col>10</xdr:col>
      <xdr:colOff>234093</xdr:colOff>
      <xdr:row>51</xdr:row>
      <xdr:rowOff>178508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113760</xdr:colOff>
      <xdr:row>19</xdr:row>
      <xdr:rowOff>189720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0475" y="3752850"/>
          <a:ext cx="113760" cy="18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12648</xdr:colOff>
      <xdr:row>37</xdr:row>
      <xdr:rowOff>95620</xdr:rowOff>
    </xdr:from>
    <xdr:to>
      <xdr:col>16</xdr:col>
      <xdr:colOff>459767</xdr:colOff>
      <xdr:row>54</xdr:row>
      <xdr:rowOff>42437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545986</xdr:colOff>
      <xdr:row>36</xdr:row>
      <xdr:rowOff>146444</xdr:rowOff>
    </xdr:from>
    <xdr:to>
      <xdr:col>27</xdr:col>
      <xdr:colOff>272144</xdr:colOff>
      <xdr:row>51</xdr:row>
      <xdr:rowOff>25512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14456</xdr:colOff>
      <xdr:row>13</xdr:row>
      <xdr:rowOff>110559</xdr:rowOff>
    </xdr:from>
    <xdr:to>
      <xdr:col>32</xdr:col>
      <xdr:colOff>110557</xdr:colOff>
      <xdr:row>25</xdr:row>
      <xdr:rowOff>100182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146276</xdr:colOff>
      <xdr:row>27</xdr:row>
      <xdr:rowOff>61400</xdr:rowOff>
    </xdr:from>
    <xdr:to>
      <xdr:col>26</xdr:col>
      <xdr:colOff>91848</xdr:colOff>
      <xdr:row>39</xdr:row>
      <xdr:rowOff>32145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431176</xdr:colOff>
      <xdr:row>14</xdr:row>
      <xdr:rowOff>44394</xdr:rowOff>
    </xdr:from>
    <xdr:to>
      <xdr:col>24</xdr:col>
      <xdr:colOff>376748</xdr:colOff>
      <xdr:row>26</xdr:row>
      <xdr:rowOff>159714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19080</xdr:colOff>
      <xdr:row>3</xdr:row>
      <xdr:rowOff>23760</xdr:rowOff>
    </xdr:from>
    <xdr:to>
      <xdr:col>7</xdr:col>
      <xdr:colOff>19440</xdr:colOff>
      <xdr:row>4</xdr:row>
      <xdr:rowOff>4680</xdr:rowOff>
    </xdr:to>
    <xdr:sp macro="" textlink="">
      <xdr:nvSpPr>
        <xdr:cNvPr id="2" name="CustomShape 1"/>
        <xdr:cNvSpPr/>
      </xdr:nvSpPr>
      <xdr:spPr>
        <a:xfrm>
          <a:off x="5648355" y="595260"/>
          <a:ext cx="360" cy="1714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93026</xdr:colOff>
      <xdr:row>17</xdr:row>
      <xdr:rowOff>154879</xdr:rowOff>
    </xdr:from>
    <xdr:to>
      <xdr:col>9</xdr:col>
      <xdr:colOff>511399</xdr:colOff>
      <xdr:row>34</xdr:row>
      <xdr:rowOff>92239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398904</xdr:colOff>
      <xdr:row>7</xdr:row>
      <xdr:rowOff>151765</xdr:rowOff>
    </xdr:from>
    <xdr:to>
      <xdr:col>18</xdr:col>
      <xdr:colOff>315743</xdr:colOff>
      <xdr:row>22</xdr:row>
      <xdr:rowOff>57824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9</xdr:row>
      <xdr:rowOff>33336</xdr:rowOff>
    </xdr:from>
    <xdr:to>
      <xdr:col>16</xdr:col>
      <xdr:colOff>180975</xdr:colOff>
      <xdr:row>24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138112</xdr:colOff>
      <xdr:row>1</xdr:row>
      <xdr:rowOff>33337</xdr:rowOff>
    </xdr:from>
    <xdr:to>
      <xdr:col>24</xdr:col>
      <xdr:colOff>442912</xdr:colOff>
      <xdr:row>15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0</xdr:rowOff>
    </xdr:from>
    <xdr:to>
      <xdr:col>22</xdr:col>
      <xdr:colOff>304800</xdr:colOff>
      <xdr:row>35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66674</xdr:colOff>
      <xdr:row>1</xdr:row>
      <xdr:rowOff>114300</xdr:rowOff>
    </xdr:from>
    <xdr:to>
      <xdr:col>22</xdr:col>
      <xdr:colOff>476249</xdr:colOff>
      <xdr:row>17</xdr:row>
      <xdr:rowOff>185738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20</xdr:row>
      <xdr:rowOff>176211</xdr:rowOff>
    </xdr:from>
    <xdr:to>
      <xdr:col>18</xdr:col>
      <xdr:colOff>104775</xdr:colOff>
      <xdr:row>37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38</xdr:row>
      <xdr:rowOff>52387</xdr:rowOff>
    </xdr:from>
    <xdr:to>
      <xdr:col>13</xdr:col>
      <xdr:colOff>552450</xdr:colOff>
      <xdr:row>52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ash\PgDip%20=P\My%20fishes\Most%20awesome%20biochemical%20graph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ash\PgDip%20=P\My%20fishes\OATemiarInfoMetafile%20-%20edited%203rd%20March%20'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pid test"/>
      <sheetName val="Sheet3"/>
      <sheetName val="IR"/>
      <sheetName val="Anthropometrics"/>
      <sheetName val="HbA1C"/>
      <sheetName val="ALP"/>
      <sheetName val="ALT"/>
      <sheetName val="Liver test"/>
      <sheetName val=" Liver test 1"/>
      <sheetName val="BP"/>
      <sheetName val="BP&amp;Age"/>
      <sheetName val="BP2"/>
    </sheetNames>
    <sheetDataSet>
      <sheetData sheetId="0" refreshError="1"/>
      <sheetData sheetId="1" refreshError="1"/>
      <sheetData sheetId="2" refreshError="1"/>
      <sheetData sheetId="3">
        <row r="7">
          <cell r="N7" t="str">
            <v>IR</v>
          </cell>
          <cell r="P7">
            <v>22</v>
          </cell>
        </row>
        <row r="8">
          <cell r="N8" t="str">
            <v>Normal</v>
          </cell>
          <cell r="P8">
            <v>78</v>
          </cell>
        </row>
      </sheetData>
      <sheetData sheetId="4">
        <row r="21">
          <cell r="O21" t="str">
            <v>Healthy</v>
          </cell>
          <cell r="P21" t="str">
            <v>Risk</v>
          </cell>
        </row>
        <row r="22">
          <cell r="N22" t="str">
            <v>Men</v>
          </cell>
          <cell r="O22">
            <v>71.900000000000006</v>
          </cell>
          <cell r="P22">
            <v>28.1</v>
          </cell>
        </row>
        <row r="23">
          <cell r="N23" t="str">
            <v>Women</v>
          </cell>
          <cell r="O23">
            <v>28.6</v>
          </cell>
          <cell r="P23">
            <v>71.400000000000006</v>
          </cell>
        </row>
        <row r="26">
          <cell r="J26" t="str">
            <v>Healthy</v>
          </cell>
          <cell r="K26" t="str">
            <v>Risk</v>
          </cell>
        </row>
        <row r="27">
          <cell r="I27" t="str">
            <v>Men</v>
          </cell>
          <cell r="J27">
            <v>71.900000000000006</v>
          </cell>
          <cell r="K27">
            <v>28.1</v>
          </cell>
        </row>
        <row r="29">
          <cell r="J29" t="str">
            <v>Underweight</v>
          </cell>
          <cell r="K29" t="str">
            <v>Normal</v>
          </cell>
          <cell r="L29" t="str">
            <v>Overweight</v>
          </cell>
          <cell r="M29" t="str">
            <v>Pre-obese</v>
          </cell>
          <cell r="N29" t="str">
            <v>Obese</v>
          </cell>
        </row>
        <row r="30">
          <cell r="I30" t="str">
            <v>Men</v>
          </cell>
          <cell r="J30">
            <v>12.5</v>
          </cell>
          <cell r="K30">
            <v>37.5</v>
          </cell>
          <cell r="L30">
            <v>18.75</v>
          </cell>
          <cell r="M30">
            <v>31.25</v>
          </cell>
          <cell r="N30">
            <v>0</v>
          </cell>
        </row>
        <row r="31">
          <cell r="E31" t="str">
            <v>Men %</v>
          </cell>
          <cell r="F31" t="str">
            <v>Women %</v>
          </cell>
          <cell r="J31" t="str">
            <v>Underweight</v>
          </cell>
          <cell r="K31" t="str">
            <v>Normal</v>
          </cell>
          <cell r="L31" t="str">
            <v>Overweight</v>
          </cell>
          <cell r="M31" t="str">
            <v>Pre-obese</v>
          </cell>
          <cell r="N31" t="str">
            <v>Obese</v>
          </cell>
        </row>
        <row r="32">
          <cell r="D32" t="str">
            <v>Underweight</v>
          </cell>
          <cell r="E32">
            <v>12.5</v>
          </cell>
          <cell r="F32">
            <v>8.3333333333333304</v>
          </cell>
          <cell r="I32" t="str">
            <v>Women</v>
          </cell>
          <cell r="J32">
            <v>8.3333333333333304</v>
          </cell>
          <cell r="K32">
            <v>22.2222222222222</v>
          </cell>
          <cell r="L32">
            <v>25</v>
          </cell>
          <cell r="M32">
            <v>33.3333333333333</v>
          </cell>
          <cell r="N32">
            <v>11.1111111111111</v>
          </cell>
        </row>
        <row r="33">
          <cell r="D33" t="str">
            <v>Normal</v>
          </cell>
          <cell r="E33">
            <v>37.5</v>
          </cell>
          <cell r="F33">
            <v>22.2222222222222</v>
          </cell>
          <cell r="J33" t="str">
            <v>Healthy</v>
          </cell>
          <cell r="K33" t="str">
            <v>Risk</v>
          </cell>
        </row>
        <row r="34">
          <cell r="D34" t="str">
            <v>Overweight</v>
          </cell>
          <cell r="E34">
            <v>18.75</v>
          </cell>
          <cell r="F34">
            <v>25</v>
          </cell>
          <cell r="I34" t="str">
            <v>Women</v>
          </cell>
          <cell r="J34">
            <v>28.6</v>
          </cell>
          <cell r="K34">
            <v>71.400000000000006</v>
          </cell>
        </row>
        <row r="35">
          <cell r="D35" t="str">
            <v>Pre-obese</v>
          </cell>
          <cell r="E35">
            <v>31.25</v>
          </cell>
          <cell r="F35">
            <v>33.3333333333333</v>
          </cell>
        </row>
        <row r="36">
          <cell r="D36" t="str">
            <v>Obese</v>
          </cell>
          <cell r="E36">
            <v>0</v>
          </cell>
          <cell r="F36">
            <v>11.1111111111111</v>
          </cell>
        </row>
      </sheetData>
      <sheetData sheetId="5">
        <row r="2">
          <cell r="E2" t="str">
            <v>normal 4.0-5.6%</v>
          </cell>
          <cell r="G2">
            <v>52.173913043478258</v>
          </cell>
        </row>
        <row r="3">
          <cell r="E3" t="str">
            <v>pre-d 5.7-6.4%</v>
          </cell>
          <cell r="G3">
            <v>44.927536231884055</v>
          </cell>
        </row>
        <row r="4">
          <cell r="E4" t="str">
            <v>diab ≥6.5%</v>
          </cell>
          <cell r="G4">
            <v>2.8985507246376812</v>
          </cell>
        </row>
        <row r="9">
          <cell r="F9" t="str">
            <v>Men</v>
          </cell>
          <cell r="G9" t="str">
            <v>Women</v>
          </cell>
        </row>
        <row r="10">
          <cell r="E10" t="str">
            <v>normal 4.0-5.6%</v>
          </cell>
          <cell r="F10">
            <v>46.875</v>
          </cell>
          <cell r="G10">
            <v>56.756756756756758</v>
          </cell>
        </row>
        <row r="11">
          <cell r="E11" t="str">
            <v>pre-d 5.7-6.4%</v>
          </cell>
          <cell r="F11">
            <v>53.125</v>
          </cell>
          <cell r="G11">
            <v>37.837837837837839</v>
          </cell>
        </row>
        <row r="12">
          <cell r="E12" t="str">
            <v>diab ≥6.5%</v>
          </cell>
          <cell r="F12">
            <v>0</v>
          </cell>
          <cell r="G12">
            <v>5.4054054054054053</v>
          </cell>
        </row>
        <row r="13">
          <cell r="E13" t="str">
            <v>IR normal</v>
          </cell>
          <cell r="F13">
            <v>78</v>
          </cell>
          <cell r="G13">
            <v>89.189189189189193</v>
          </cell>
        </row>
        <row r="14">
          <cell r="E14" t="str">
            <v>IR at risk</v>
          </cell>
          <cell r="F14">
            <v>22</v>
          </cell>
          <cell r="G14">
            <v>10.810810810810811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E2" t="str">
            <v>Normotensive</v>
          </cell>
          <cell r="J2">
            <v>7</v>
          </cell>
          <cell r="M2">
            <v>20.289855072463769</v>
          </cell>
        </row>
        <row r="3">
          <cell r="E3" t="str">
            <v>Pre-hypertensive</v>
          </cell>
          <cell r="J3">
            <v>24</v>
          </cell>
          <cell r="M3">
            <v>56.521739130434781</v>
          </cell>
        </row>
        <row r="4">
          <cell r="E4" t="str">
            <v>Stage 1</v>
          </cell>
          <cell r="J4">
            <v>3</v>
          </cell>
          <cell r="M4">
            <v>17.391304347826086</v>
          </cell>
        </row>
        <row r="5">
          <cell r="E5" t="str">
            <v>Stage 2</v>
          </cell>
          <cell r="J5">
            <v>3</v>
          </cell>
          <cell r="M5">
            <v>5.7971014492753623</v>
          </cell>
        </row>
        <row r="9">
          <cell r="E9" t="str">
            <v>Normotensive</v>
          </cell>
          <cell r="F9">
            <v>21.875</v>
          </cell>
          <cell r="G9">
            <v>18.918918918918919</v>
          </cell>
        </row>
        <row r="10">
          <cell r="E10" t="str">
            <v>Pre-hypertensive</v>
          </cell>
          <cell r="F10">
            <v>43.75</v>
          </cell>
          <cell r="G10">
            <v>64.86486486486487</v>
          </cell>
        </row>
        <row r="11">
          <cell r="E11" t="str">
            <v>Stage 1</v>
          </cell>
          <cell r="F11">
            <v>28.125</v>
          </cell>
          <cell r="G11">
            <v>8.1081081081081088</v>
          </cell>
        </row>
        <row r="12">
          <cell r="E12" t="str">
            <v>Stage 2</v>
          </cell>
          <cell r="F12">
            <v>6.25</v>
          </cell>
          <cell r="G12">
            <v>8.1081081081081088</v>
          </cell>
        </row>
      </sheetData>
      <sheetData sheetId="11">
        <row r="2">
          <cell r="F2" t="str">
            <v>14-23</v>
          </cell>
          <cell r="G2">
            <v>18</v>
          </cell>
        </row>
        <row r="3">
          <cell r="F3" t="str">
            <v>24-33</v>
          </cell>
          <cell r="G3">
            <v>18</v>
          </cell>
        </row>
        <row r="4">
          <cell r="F4" t="str">
            <v>34-43</v>
          </cell>
          <cell r="G4">
            <v>21</v>
          </cell>
        </row>
        <row r="5">
          <cell r="F5" t="str">
            <v>44-53</v>
          </cell>
          <cell r="G5">
            <v>5</v>
          </cell>
        </row>
        <row r="6">
          <cell r="F6" t="str">
            <v>54-66</v>
          </cell>
          <cell r="G6">
            <v>7</v>
          </cell>
        </row>
        <row r="17">
          <cell r="I17" t="str">
            <v>Normo</v>
          </cell>
          <cell r="J17" t="str">
            <v>Pre-hype</v>
          </cell>
          <cell r="K17">
            <v>1</v>
          </cell>
          <cell r="L17">
            <v>2</v>
          </cell>
        </row>
        <row r="18">
          <cell r="H18" t="str">
            <v>14-23 (n=18)</v>
          </cell>
          <cell r="I18">
            <v>6</v>
          </cell>
          <cell r="J18">
            <v>10</v>
          </cell>
          <cell r="K18">
            <v>2</v>
          </cell>
          <cell r="L18">
            <v>0</v>
          </cell>
        </row>
        <row r="19">
          <cell r="H19" t="str">
            <v>24-33 (n=18)</v>
          </cell>
          <cell r="I19">
            <v>3</v>
          </cell>
          <cell r="J19">
            <v>12</v>
          </cell>
          <cell r="K19">
            <v>2</v>
          </cell>
          <cell r="L19">
            <v>1</v>
          </cell>
        </row>
        <row r="20">
          <cell r="H20" t="str">
            <v>34-43 (n=21)</v>
          </cell>
          <cell r="I20">
            <v>3</v>
          </cell>
          <cell r="J20">
            <v>9</v>
          </cell>
          <cell r="K20">
            <v>8</v>
          </cell>
          <cell r="L20">
            <v>1</v>
          </cell>
        </row>
        <row r="21">
          <cell r="H21" t="str">
            <v>44-53 (n=5)</v>
          </cell>
          <cell r="I21">
            <v>1</v>
          </cell>
          <cell r="J21">
            <v>3</v>
          </cell>
          <cell r="K21">
            <v>0</v>
          </cell>
          <cell r="L21">
            <v>1</v>
          </cell>
        </row>
        <row r="22">
          <cell r="H22" t="str">
            <v>54-66 (n=7)</v>
          </cell>
          <cell r="I22">
            <v>1</v>
          </cell>
          <cell r="J22">
            <v>4</v>
          </cell>
          <cell r="K22">
            <v>0</v>
          </cell>
          <cell r="L22">
            <v>2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sm Johor2009"/>
      <sheetName val="Picked"/>
      <sheetName val="Smokers stats"/>
      <sheetName val="Statistic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E7" t="str">
            <v>Never</v>
          </cell>
          <cell r="F7" t="str">
            <v>Smoking</v>
          </cell>
          <cell r="G7" t="str">
            <v>Former</v>
          </cell>
        </row>
        <row r="8">
          <cell r="D8" t="str">
            <v>Men</v>
          </cell>
          <cell r="E8">
            <v>18.75</v>
          </cell>
          <cell r="F8">
            <v>65.625</v>
          </cell>
          <cell r="G8">
            <v>15.625</v>
          </cell>
        </row>
        <row r="9">
          <cell r="D9" t="str">
            <v>Women</v>
          </cell>
          <cell r="E9">
            <v>81.099999999999994</v>
          </cell>
          <cell r="F9">
            <v>18.899999999999999</v>
          </cell>
          <cell r="G9">
            <v>9</v>
          </cell>
        </row>
        <row r="37">
          <cell r="H37" t="str">
            <v>%</v>
          </cell>
        </row>
        <row r="38">
          <cell r="D38" t="str">
            <v>Men</v>
          </cell>
          <cell r="E38" t="str">
            <v>Chew betel nuts</v>
          </cell>
          <cell r="F38" t="str">
            <v xml:space="preserve">Smokers </v>
          </cell>
          <cell r="H38">
            <v>46.875</v>
          </cell>
        </row>
        <row r="39">
          <cell r="F39" t="str">
            <v xml:space="preserve">Never smoke </v>
          </cell>
          <cell r="H39">
            <v>6.25</v>
          </cell>
        </row>
        <row r="40">
          <cell r="F40" t="str">
            <v xml:space="preserve">Former smokers </v>
          </cell>
          <cell r="H40">
            <v>9.375</v>
          </cell>
        </row>
        <row r="41">
          <cell r="E41" t="str">
            <v>Don’t chew betel nuts</v>
          </cell>
          <cell r="F41" t="str">
            <v xml:space="preserve">Smokers </v>
          </cell>
          <cell r="H41">
            <v>18.75</v>
          </cell>
        </row>
        <row r="42">
          <cell r="F42" t="str">
            <v xml:space="preserve">Never smoke </v>
          </cell>
          <cell r="H42">
            <v>12.5</v>
          </cell>
        </row>
        <row r="43">
          <cell r="F43" t="str">
            <v xml:space="preserve">Former smokers </v>
          </cell>
          <cell r="H43">
            <v>6.25</v>
          </cell>
        </row>
        <row r="44">
          <cell r="D44" t="str">
            <v>Women</v>
          </cell>
          <cell r="E44" t="str">
            <v>Chew betel nuts</v>
          </cell>
          <cell r="F44" t="str">
            <v>Smokers</v>
          </cell>
          <cell r="H44">
            <v>16.216216216216218</v>
          </cell>
        </row>
        <row r="45">
          <cell r="F45" t="str">
            <v>Never smoke</v>
          </cell>
          <cell r="H45">
            <v>54.054054054054056</v>
          </cell>
        </row>
        <row r="46">
          <cell r="E46" t="str">
            <v>Don’t chew betel nuts</v>
          </cell>
          <cell r="F46" t="str">
            <v>Smokers</v>
          </cell>
          <cell r="H46">
            <v>2.7027027027027026</v>
          </cell>
        </row>
        <row r="47">
          <cell r="F47" t="str">
            <v>Never smoke</v>
          </cell>
          <cell r="H47">
            <v>27.027027027027028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"/>
  <sheetViews>
    <sheetView tabSelected="1" workbookViewId="0">
      <selection activeCell="N21" sqref="N21"/>
    </sheetView>
  </sheetViews>
  <sheetFormatPr defaultRowHeight="15" x14ac:dyDescent="0.25"/>
  <cols>
    <col min="1" max="1" width="8.7109375" customWidth="1"/>
    <col min="2" max="2" width="4.140625" style="35" bestFit="1" customWidth="1"/>
    <col min="3" max="3" width="11.28515625" style="35" bestFit="1" customWidth="1"/>
    <col min="4" max="4" width="10.5703125" style="35" bestFit="1" customWidth="1"/>
    <col min="5" max="5" width="11.42578125" style="35" bestFit="1" customWidth="1"/>
    <col min="6" max="6" width="6.140625" style="35" bestFit="1" customWidth="1"/>
    <col min="7" max="7" width="10.5703125" style="35" bestFit="1" customWidth="1"/>
    <col min="8" max="10" width="7.28515625" style="35" bestFit="1" customWidth="1"/>
    <col min="11" max="12" width="6.5703125" style="35" bestFit="1" customWidth="1"/>
    <col min="13" max="13" width="7.28515625" style="35" bestFit="1" customWidth="1"/>
    <col min="14" max="14" width="25.5703125" style="35" bestFit="1" customWidth="1"/>
    <col min="15" max="15" width="13.7109375" style="35" bestFit="1" customWidth="1"/>
    <col min="16" max="16" width="18.42578125" style="46" bestFit="1" customWidth="1"/>
    <col min="17" max="17" width="15.42578125" style="35" bestFit="1" customWidth="1"/>
    <col min="18" max="18" width="16.140625" style="35" bestFit="1" customWidth="1"/>
    <col min="19" max="19" width="14.140625" style="35" bestFit="1" customWidth="1"/>
    <col min="20" max="20" width="12.7109375" style="35" bestFit="1" customWidth="1"/>
    <col min="21" max="21" width="12" style="35" customWidth="1"/>
    <col min="22" max="22" width="12.28515625" style="35" bestFit="1" customWidth="1"/>
    <col min="23" max="23" width="14.28515625" style="35" bestFit="1" customWidth="1"/>
    <col min="24" max="16384" width="9.140625" style="35"/>
  </cols>
  <sheetData>
    <row r="1" spans="1:23" s="45" customFormat="1" x14ac:dyDescent="0.25">
      <c r="A1" t="s">
        <v>192</v>
      </c>
      <c r="B1" s="36" t="s">
        <v>0</v>
      </c>
      <c r="C1" s="36" t="s">
        <v>64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8</v>
      </c>
      <c r="I1" s="37" t="s">
        <v>9</v>
      </c>
      <c r="J1" s="37" t="s">
        <v>10</v>
      </c>
      <c r="K1" s="37" t="s">
        <v>11</v>
      </c>
      <c r="L1" s="37" t="s">
        <v>12</v>
      </c>
      <c r="M1" s="37" t="s">
        <v>13</v>
      </c>
      <c r="N1" s="37" t="s">
        <v>55</v>
      </c>
      <c r="O1" s="37" t="s">
        <v>56</v>
      </c>
      <c r="P1" s="38" t="s">
        <v>57</v>
      </c>
      <c r="Q1" s="37" t="s">
        <v>58</v>
      </c>
      <c r="R1" s="39" t="s">
        <v>47</v>
      </c>
      <c r="S1" s="39" t="s">
        <v>48</v>
      </c>
      <c r="T1" s="39" t="s">
        <v>49</v>
      </c>
      <c r="U1" s="39" t="s">
        <v>50</v>
      </c>
      <c r="V1" s="39" t="s">
        <v>51</v>
      </c>
      <c r="W1" s="39" t="s">
        <v>52</v>
      </c>
    </row>
    <row r="2" spans="1:23" x14ac:dyDescent="0.25">
      <c r="A2" t="s">
        <v>193</v>
      </c>
      <c r="B2" s="40">
        <v>41</v>
      </c>
      <c r="C2" s="40" t="s">
        <v>62</v>
      </c>
      <c r="D2" s="41">
        <v>1.5</v>
      </c>
      <c r="E2" s="41">
        <v>51</v>
      </c>
      <c r="F2" s="41">
        <v>22</v>
      </c>
      <c r="G2" s="41">
        <v>77</v>
      </c>
      <c r="H2" s="41">
        <v>183</v>
      </c>
      <c r="I2" s="41">
        <v>175</v>
      </c>
      <c r="J2" s="41">
        <v>179</v>
      </c>
      <c r="K2" s="41">
        <v>113</v>
      </c>
      <c r="L2" s="41">
        <v>108</v>
      </c>
      <c r="M2" s="41">
        <v>110.5</v>
      </c>
      <c r="N2" s="41" t="s">
        <v>59</v>
      </c>
      <c r="O2" s="41" t="s">
        <v>6</v>
      </c>
      <c r="P2" s="42" t="s">
        <v>6</v>
      </c>
      <c r="Q2" s="41" t="s">
        <v>6</v>
      </c>
      <c r="R2" s="43">
        <v>5.9</v>
      </c>
      <c r="S2" s="41">
        <v>3.41</v>
      </c>
      <c r="T2" s="41">
        <v>2.57</v>
      </c>
      <c r="U2" s="41">
        <v>45.6</v>
      </c>
      <c r="V2" s="41">
        <v>4.53</v>
      </c>
      <c r="W2" s="41">
        <v>1.29</v>
      </c>
    </row>
    <row r="3" spans="1:23" x14ac:dyDescent="0.25">
      <c r="A3" t="s">
        <v>194</v>
      </c>
      <c r="B3" s="41">
        <v>40</v>
      </c>
      <c r="C3" s="41" t="s">
        <v>62</v>
      </c>
      <c r="D3" s="41">
        <v>1.63</v>
      </c>
      <c r="E3" s="41">
        <v>71</v>
      </c>
      <c r="F3" s="41">
        <v>26</v>
      </c>
      <c r="G3" s="41">
        <v>95</v>
      </c>
      <c r="H3" s="41">
        <v>150</v>
      </c>
      <c r="I3" s="41">
        <v>140</v>
      </c>
      <c r="J3" s="41">
        <v>145</v>
      </c>
      <c r="K3" s="41">
        <v>94</v>
      </c>
      <c r="L3" s="41">
        <v>89</v>
      </c>
      <c r="M3" s="41">
        <v>91.5</v>
      </c>
      <c r="N3" s="41" t="s">
        <v>60</v>
      </c>
      <c r="O3" s="41" t="s">
        <v>14</v>
      </c>
      <c r="P3" s="42">
        <v>20</v>
      </c>
      <c r="Q3" s="41" t="s">
        <v>6</v>
      </c>
      <c r="R3" s="43">
        <v>6</v>
      </c>
      <c r="S3" s="41">
        <v>3.95</v>
      </c>
      <c r="T3" s="41">
        <v>2.58</v>
      </c>
      <c r="U3" s="41">
        <v>18.100000000000001</v>
      </c>
      <c r="V3" s="41">
        <v>4.8600000000000003</v>
      </c>
      <c r="W3" s="41">
        <v>1.66</v>
      </c>
    </row>
    <row r="4" spans="1:23" x14ac:dyDescent="0.25">
      <c r="A4" t="s">
        <v>195</v>
      </c>
      <c r="B4" s="41">
        <v>38</v>
      </c>
      <c r="C4" s="41" t="s">
        <v>63</v>
      </c>
      <c r="D4" s="41">
        <v>1.56</v>
      </c>
      <c r="E4" s="41">
        <v>61</v>
      </c>
      <c r="F4" s="41">
        <v>25</v>
      </c>
      <c r="G4" s="41">
        <v>82</v>
      </c>
      <c r="H4" s="41">
        <v>112</v>
      </c>
      <c r="I4" s="41">
        <v>110</v>
      </c>
      <c r="J4" s="41">
        <v>111</v>
      </c>
      <c r="K4" s="41">
        <v>76</v>
      </c>
      <c r="L4" s="41">
        <v>84</v>
      </c>
      <c r="M4" s="41">
        <v>80</v>
      </c>
      <c r="N4" s="41" t="s">
        <v>59</v>
      </c>
      <c r="O4" s="41" t="s">
        <v>6</v>
      </c>
      <c r="P4" s="42" t="s">
        <v>6</v>
      </c>
      <c r="Q4" s="41" t="s">
        <v>6</v>
      </c>
      <c r="R4" s="41">
        <v>5.6</v>
      </c>
      <c r="S4" s="41">
        <v>3.72</v>
      </c>
      <c r="T4" s="41">
        <v>1.85</v>
      </c>
      <c r="U4" s="41">
        <v>20.8</v>
      </c>
      <c r="V4" s="41">
        <v>4.95</v>
      </c>
      <c r="W4" s="41">
        <v>2.66</v>
      </c>
    </row>
    <row r="5" spans="1:23" x14ac:dyDescent="0.25">
      <c r="A5" t="s">
        <v>196</v>
      </c>
      <c r="B5" s="41">
        <v>18</v>
      </c>
      <c r="C5" s="41" t="s">
        <v>62</v>
      </c>
      <c r="D5" s="41">
        <v>1.69</v>
      </c>
      <c r="E5" s="41">
        <v>55</v>
      </c>
      <c r="F5" s="41">
        <v>19</v>
      </c>
      <c r="G5" s="41">
        <v>74</v>
      </c>
      <c r="H5" s="41">
        <v>128</v>
      </c>
      <c r="I5" s="41">
        <v>120</v>
      </c>
      <c r="J5" s="41">
        <v>124</v>
      </c>
      <c r="K5" s="41">
        <v>73</v>
      </c>
      <c r="L5" s="41">
        <v>78</v>
      </c>
      <c r="M5" s="41">
        <v>75.5</v>
      </c>
      <c r="N5" s="41" t="s">
        <v>59</v>
      </c>
      <c r="O5" s="41" t="s">
        <v>6</v>
      </c>
      <c r="P5" s="42" t="s">
        <v>6</v>
      </c>
      <c r="Q5" s="41" t="s">
        <v>6</v>
      </c>
      <c r="R5" s="43">
        <v>5.6</v>
      </c>
      <c r="S5" s="41">
        <v>2.93</v>
      </c>
      <c r="T5" s="41">
        <v>1.94</v>
      </c>
      <c r="U5" s="41">
        <v>16.2</v>
      </c>
      <c r="V5" s="41">
        <v>4.37</v>
      </c>
      <c r="W5" s="41">
        <v>1.44</v>
      </c>
    </row>
    <row r="6" spans="1:23" x14ac:dyDescent="0.25">
      <c r="A6" t="s">
        <v>197</v>
      </c>
      <c r="B6" s="41">
        <v>16</v>
      </c>
      <c r="C6" s="41" t="s">
        <v>63</v>
      </c>
      <c r="D6" s="41">
        <v>1.6</v>
      </c>
      <c r="E6" s="41">
        <v>48</v>
      </c>
      <c r="F6" s="41">
        <v>18</v>
      </c>
      <c r="G6" s="41">
        <v>66</v>
      </c>
      <c r="H6" s="41">
        <v>114</v>
      </c>
      <c r="I6" s="41">
        <v>119</v>
      </c>
      <c r="J6" s="41">
        <v>116.5</v>
      </c>
      <c r="K6" s="41">
        <v>66</v>
      </c>
      <c r="L6" s="41">
        <v>66</v>
      </c>
      <c r="M6" s="41">
        <v>66</v>
      </c>
      <c r="N6" s="41" t="s">
        <v>59</v>
      </c>
      <c r="O6" s="41" t="s">
        <v>6</v>
      </c>
      <c r="P6" s="42" t="s">
        <v>6</v>
      </c>
      <c r="Q6" s="41" t="s">
        <v>6</v>
      </c>
      <c r="R6" s="43">
        <v>5.6</v>
      </c>
      <c r="S6" s="44">
        <v>4</v>
      </c>
      <c r="T6" s="41">
        <v>2.5</v>
      </c>
      <c r="U6" s="41">
        <v>19.8</v>
      </c>
      <c r="V6" s="41">
        <v>5.24</v>
      </c>
      <c r="W6" s="41">
        <v>1.51</v>
      </c>
    </row>
    <row r="7" spans="1:23" x14ac:dyDescent="0.25">
      <c r="A7" t="s">
        <v>198</v>
      </c>
      <c r="B7" s="41">
        <v>34</v>
      </c>
      <c r="C7" s="41" t="s">
        <v>63</v>
      </c>
      <c r="D7" s="41">
        <v>1.55</v>
      </c>
      <c r="E7" s="41">
        <v>62</v>
      </c>
      <c r="F7" s="41">
        <v>25</v>
      </c>
      <c r="G7" s="41">
        <v>97</v>
      </c>
      <c r="H7" s="41">
        <v>131</v>
      </c>
      <c r="I7" s="41">
        <v>134</v>
      </c>
      <c r="J7" s="41">
        <v>132.5</v>
      </c>
      <c r="K7" s="41">
        <v>92</v>
      </c>
      <c r="L7" s="41">
        <v>82</v>
      </c>
      <c r="M7" s="41">
        <v>87</v>
      </c>
      <c r="N7" s="41" t="s">
        <v>59</v>
      </c>
      <c r="O7" s="41" t="s">
        <v>6</v>
      </c>
      <c r="P7" s="42" t="s">
        <v>6</v>
      </c>
      <c r="Q7" s="41" t="s">
        <v>6</v>
      </c>
      <c r="R7" s="41">
        <v>5.7</v>
      </c>
      <c r="S7" s="41">
        <v>5.24</v>
      </c>
      <c r="T7" s="41">
        <v>2.46</v>
      </c>
      <c r="U7" s="41">
        <v>29.2</v>
      </c>
      <c r="V7" s="41">
        <v>6.44</v>
      </c>
      <c r="W7" s="41">
        <v>1.27</v>
      </c>
    </row>
    <row r="8" spans="1:23" x14ac:dyDescent="0.25">
      <c r="A8" t="s">
        <v>199</v>
      </c>
      <c r="B8" s="41">
        <v>24</v>
      </c>
      <c r="C8" s="41" t="s">
        <v>63</v>
      </c>
      <c r="D8" s="41">
        <v>1.56</v>
      </c>
      <c r="E8" s="41">
        <v>66</v>
      </c>
      <c r="F8" s="41">
        <v>27</v>
      </c>
      <c r="G8" s="41">
        <v>94</v>
      </c>
      <c r="H8" s="41">
        <v>134</v>
      </c>
      <c r="I8" s="41">
        <v>121</v>
      </c>
      <c r="J8" s="41">
        <v>127.5</v>
      </c>
      <c r="K8" s="41">
        <v>83</v>
      </c>
      <c r="L8" s="41">
        <v>84</v>
      </c>
      <c r="M8" s="41">
        <v>83.5</v>
      </c>
      <c r="N8" s="41" t="s">
        <v>59</v>
      </c>
      <c r="O8" s="41" t="s">
        <v>6</v>
      </c>
      <c r="P8" s="42" t="s">
        <v>6</v>
      </c>
      <c r="Q8" s="41" t="s">
        <v>6</v>
      </c>
      <c r="R8" s="43">
        <v>5.2</v>
      </c>
      <c r="S8" s="41">
        <v>3.11</v>
      </c>
      <c r="T8" s="41">
        <v>2.12</v>
      </c>
      <c r="U8" s="41">
        <v>22</v>
      </c>
      <c r="V8" s="41">
        <v>4.6100000000000003</v>
      </c>
      <c r="W8" s="41">
        <v>1.04</v>
      </c>
    </row>
    <row r="9" spans="1:23" x14ac:dyDescent="0.25">
      <c r="A9" t="s">
        <v>200</v>
      </c>
      <c r="B9" s="41">
        <v>35</v>
      </c>
      <c r="C9" s="41" t="s">
        <v>63</v>
      </c>
      <c r="D9" s="41">
        <v>1.52</v>
      </c>
      <c r="E9" s="41">
        <v>50</v>
      </c>
      <c r="F9" s="41">
        <v>21</v>
      </c>
      <c r="G9" s="41">
        <v>77</v>
      </c>
      <c r="H9" s="41">
        <v>138</v>
      </c>
      <c r="I9" s="41">
        <v>135</v>
      </c>
      <c r="J9" s="41">
        <v>136.5</v>
      </c>
      <c r="K9" s="41">
        <v>92</v>
      </c>
      <c r="L9" s="41">
        <v>97</v>
      </c>
      <c r="M9" s="41">
        <v>94.5</v>
      </c>
      <c r="N9" s="41" t="s">
        <v>60</v>
      </c>
      <c r="O9" s="41" t="s">
        <v>15</v>
      </c>
      <c r="P9" s="42">
        <v>3</v>
      </c>
      <c r="Q9" s="41" t="s">
        <v>6</v>
      </c>
      <c r="R9" s="43">
        <v>5.5</v>
      </c>
      <c r="S9" s="41">
        <v>2.34</v>
      </c>
      <c r="T9" s="41">
        <v>1.68</v>
      </c>
      <c r="U9" s="41">
        <v>19</v>
      </c>
      <c r="V9" s="41">
        <v>3.85</v>
      </c>
      <c r="W9" s="41">
        <v>1.67</v>
      </c>
    </row>
    <row r="10" spans="1:23" x14ac:dyDescent="0.25">
      <c r="A10" t="s">
        <v>201</v>
      </c>
      <c r="B10" s="41">
        <v>14</v>
      </c>
      <c r="C10" s="41" t="s">
        <v>63</v>
      </c>
      <c r="D10" s="41">
        <v>1.56</v>
      </c>
      <c r="E10" s="41">
        <v>52</v>
      </c>
      <c r="F10" s="41">
        <v>21</v>
      </c>
      <c r="G10" s="41">
        <v>84</v>
      </c>
      <c r="H10" s="41">
        <v>111</v>
      </c>
      <c r="I10" s="41">
        <v>110</v>
      </c>
      <c r="J10" s="41">
        <v>110.5</v>
      </c>
      <c r="K10" s="41">
        <v>71</v>
      </c>
      <c r="L10" s="41">
        <v>75</v>
      </c>
      <c r="M10" s="41">
        <v>73</v>
      </c>
      <c r="N10" s="41" t="s">
        <v>59</v>
      </c>
      <c r="O10" s="41" t="s">
        <v>6</v>
      </c>
      <c r="P10" s="42" t="s">
        <v>6</v>
      </c>
      <c r="Q10" s="41" t="s">
        <v>6</v>
      </c>
      <c r="R10" s="43">
        <v>5.3</v>
      </c>
      <c r="S10" s="41">
        <v>3.47</v>
      </c>
      <c r="T10" s="41">
        <v>1.83</v>
      </c>
      <c r="U10" s="41">
        <v>10.7</v>
      </c>
      <c r="V10" s="41">
        <v>5.12</v>
      </c>
      <c r="W10" s="41">
        <v>0.68</v>
      </c>
    </row>
    <row r="11" spans="1:23" x14ac:dyDescent="0.25">
      <c r="A11" t="s">
        <v>202</v>
      </c>
      <c r="B11" s="41">
        <v>40</v>
      </c>
      <c r="C11" s="41" t="s">
        <v>62</v>
      </c>
      <c r="D11" s="41">
        <v>1.74</v>
      </c>
      <c r="E11" s="41">
        <v>85</v>
      </c>
      <c r="F11" s="41">
        <v>28</v>
      </c>
      <c r="G11" s="41">
        <v>102</v>
      </c>
      <c r="H11" s="41">
        <v>121</v>
      </c>
      <c r="I11" s="41">
        <v>116</v>
      </c>
      <c r="J11" s="41">
        <v>118.5</v>
      </c>
      <c r="K11" s="41">
        <v>81</v>
      </c>
      <c r="L11" s="41">
        <v>81</v>
      </c>
      <c r="M11" s="41">
        <v>81</v>
      </c>
      <c r="N11" s="41" t="s">
        <v>61</v>
      </c>
      <c r="O11" s="41" t="s">
        <v>6</v>
      </c>
      <c r="P11" s="42" t="s">
        <v>6</v>
      </c>
      <c r="Q11" s="41" t="s">
        <v>16</v>
      </c>
      <c r="R11" s="43">
        <v>5.6</v>
      </c>
      <c r="S11" s="41">
        <v>3.65</v>
      </c>
      <c r="T11" s="41">
        <v>1.31</v>
      </c>
      <c r="U11" s="41">
        <v>24.1</v>
      </c>
      <c r="V11" s="41">
        <v>4.8899999999999997</v>
      </c>
      <c r="W11" s="41">
        <v>3.07</v>
      </c>
    </row>
    <row r="12" spans="1:23" x14ac:dyDescent="0.25">
      <c r="A12" t="s">
        <v>203</v>
      </c>
      <c r="B12" s="41">
        <v>28</v>
      </c>
      <c r="C12" s="41" t="s">
        <v>63</v>
      </c>
      <c r="D12" s="41">
        <v>1.49</v>
      </c>
      <c r="E12" s="41">
        <v>71</v>
      </c>
      <c r="F12" s="41">
        <v>31</v>
      </c>
      <c r="G12" s="41">
        <v>103</v>
      </c>
      <c r="H12" s="41">
        <v>116</v>
      </c>
      <c r="I12" s="41">
        <v>104</v>
      </c>
      <c r="J12" s="41">
        <v>110</v>
      </c>
      <c r="K12" s="41">
        <v>87</v>
      </c>
      <c r="L12" s="41">
        <v>85</v>
      </c>
      <c r="M12" s="41">
        <v>86</v>
      </c>
      <c r="N12" s="41" t="s">
        <v>59</v>
      </c>
      <c r="O12" s="41" t="s">
        <v>6</v>
      </c>
      <c r="P12" s="42" t="s">
        <v>6</v>
      </c>
      <c r="Q12" s="41" t="s">
        <v>6</v>
      </c>
      <c r="R12" s="43">
        <v>5.7</v>
      </c>
      <c r="S12" s="41">
        <v>3.95</v>
      </c>
      <c r="T12" s="41">
        <v>1.93</v>
      </c>
      <c r="U12" s="41">
        <v>16.600000000000001</v>
      </c>
      <c r="V12" s="41">
        <v>5.56</v>
      </c>
      <c r="W12" s="41">
        <v>0.68</v>
      </c>
    </row>
    <row r="13" spans="1:23" x14ac:dyDescent="0.25">
      <c r="A13" t="s">
        <v>204</v>
      </c>
      <c r="B13" s="41">
        <v>18</v>
      </c>
      <c r="C13" s="41" t="s">
        <v>63</v>
      </c>
      <c r="D13" s="41">
        <v>1.51</v>
      </c>
      <c r="E13" s="41">
        <v>53</v>
      </c>
      <c r="F13" s="41">
        <v>23</v>
      </c>
      <c r="G13" s="41" t="s">
        <v>6</v>
      </c>
      <c r="H13" s="41">
        <v>111</v>
      </c>
      <c r="I13" s="41">
        <v>105</v>
      </c>
      <c r="J13" s="41">
        <v>108</v>
      </c>
      <c r="K13" s="41">
        <v>74</v>
      </c>
      <c r="L13" s="41">
        <v>74</v>
      </c>
      <c r="M13" s="41">
        <v>74</v>
      </c>
      <c r="N13" s="41" t="s">
        <v>59</v>
      </c>
      <c r="O13" s="41" t="s">
        <v>6</v>
      </c>
      <c r="P13" s="42" t="s">
        <v>6</v>
      </c>
      <c r="Q13" s="41" t="s">
        <v>6</v>
      </c>
      <c r="R13" s="43">
        <v>5.4</v>
      </c>
      <c r="S13" s="41">
        <v>3.49</v>
      </c>
      <c r="T13" s="41">
        <v>2.57</v>
      </c>
      <c r="U13" s="41">
        <v>34.299999999999997</v>
      </c>
      <c r="V13" s="41">
        <v>4.59</v>
      </c>
      <c r="W13" s="41">
        <v>1.99</v>
      </c>
    </row>
    <row r="14" spans="1:23" x14ac:dyDescent="0.25">
      <c r="A14" t="s">
        <v>205</v>
      </c>
      <c r="B14" s="41">
        <v>43</v>
      </c>
      <c r="C14" s="41" t="s">
        <v>62</v>
      </c>
      <c r="D14" s="41">
        <v>1.58</v>
      </c>
      <c r="E14" s="41">
        <v>58</v>
      </c>
      <c r="F14" s="41">
        <v>23</v>
      </c>
      <c r="G14" s="41">
        <v>83</v>
      </c>
      <c r="H14" s="41">
        <v>114</v>
      </c>
      <c r="I14" s="41">
        <v>126</v>
      </c>
      <c r="J14" s="41">
        <v>120</v>
      </c>
      <c r="K14" s="41">
        <v>75</v>
      </c>
      <c r="L14" s="41">
        <v>74</v>
      </c>
      <c r="M14" s="41">
        <v>74.5</v>
      </c>
      <c r="N14" s="41" t="s">
        <v>60</v>
      </c>
      <c r="O14" s="41" t="s">
        <v>17</v>
      </c>
      <c r="P14" s="42" t="s">
        <v>18</v>
      </c>
      <c r="Q14" s="41" t="s">
        <v>6</v>
      </c>
      <c r="R14" s="43">
        <v>5.8</v>
      </c>
      <c r="S14" s="41">
        <v>5.23</v>
      </c>
      <c r="T14" s="41">
        <v>2.15</v>
      </c>
      <c r="U14" s="41">
        <v>38.4</v>
      </c>
      <c r="V14" s="41">
        <v>6.35</v>
      </c>
      <c r="W14" s="41">
        <v>1.75</v>
      </c>
    </row>
    <row r="15" spans="1:23" x14ac:dyDescent="0.25">
      <c r="A15" t="s">
        <v>206</v>
      </c>
      <c r="B15" s="41">
        <v>36</v>
      </c>
      <c r="C15" s="41" t="s">
        <v>62</v>
      </c>
      <c r="D15" s="41">
        <v>1.68</v>
      </c>
      <c r="E15" s="41">
        <v>67</v>
      </c>
      <c r="F15" s="41">
        <v>23</v>
      </c>
      <c r="G15" s="41">
        <v>83</v>
      </c>
      <c r="H15" s="41">
        <v>163</v>
      </c>
      <c r="I15" s="41">
        <v>140</v>
      </c>
      <c r="J15" s="41">
        <v>151.5</v>
      </c>
      <c r="K15" s="41">
        <v>87</v>
      </c>
      <c r="L15" s="41">
        <v>89</v>
      </c>
      <c r="M15" s="41">
        <v>88</v>
      </c>
      <c r="N15" s="41" t="s">
        <v>60</v>
      </c>
      <c r="O15" s="41" t="s">
        <v>17</v>
      </c>
      <c r="P15" s="42">
        <v>20</v>
      </c>
      <c r="Q15" s="41" t="s">
        <v>6</v>
      </c>
      <c r="R15" s="43">
        <v>5.6</v>
      </c>
      <c r="S15" s="41">
        <v>5.32</v>
      </c>
      <c r="T15" s="41">
        <v>1.51</v>
      </c>
      <c r="U15" s="41">
        <v>15</v>
      </c>
      <c r="V15" s="41">
        <v>3.45</v>
      </c>
      <c r="W15" s="41" t="s">
        <v>53</v>
      </c>
    </row>
    <row r="16" spans="1:23" x14ac:dyDescent="0.25">
      <c r="A16" t="s">
        <v>207</v>
      </c>
      <c r="B16" s="41">
        <v>29</v>
      </c>
      <c r="C16" s="41" t="s">
        <v>63</v>
      </c>
      <c r="D16" s="41">
        <v>1.52</v>
      </c>
      <c r="E16" s="41">
        <v>37</v>
      </c>
      <c r="F16" s="41">
        <v>16</v>
      </c>
      <c r="G16" s="41">
        <v>64</v>
      </c>
      <c r="H16" s="41">
        <v>123</v>
      </c>
      <c r="I16" s="41">
        <v>116</v>
      </c>
      <c r="J16" s="41">
        <v>119.5</v>
      </c>
      <c r="K16" s="41">
        <v>82</v>
      </c>
      <c r="L16" s="41">
        <v>77</v>
      </c>
      <c r="M16" s="41">
        <v>79.5</v>
      </c>
      <c r="N16" s="41" t="s">
        <v>59</v>
      </c>
      <c r="O16" s="41" t="s">
        <v>6</v>
      </c>
      <c r="P16" s="42" t="s">
        <v>6</v>
      </c>
      <c r="Q16" s="41" t="s">
        <v>6</v>
      </c>
      <c r="R16" s="43">
        <v>5.8</v>
      </c>
      <c r="S16" s="41">
        <v>2.3199999999999998</v>
      </c>
      <c r="T16" s="41">
        <v>1.96</v>
      </c>
      <c r="U16" s="41">
        <v>38.4</v>
      </c>
      <c r="V16" s="41">
        <v>3.79</v>
      </c>
      <c r="W16" s="41">
        <v>0.56999999999999995</v>
      </c>
    </row>
    <row r="17" spans="1:23" x14ac:dyDescent="0.25">
      <c r="A17" t="s">
        <v>208</v>
      </c>
      <c r="B17" s="41">
        <v>34</v>
      </c>
      <c r="C17" s="41" t="s">
        <v>62</v>
      </c>
      <c r="D17" s="41">
        <v>1.65</v>
      </c>
      <c r="E17" s="41">
        <v>62</v>
      </c>
      <c r="F17" s="41">
        <v>22</v>
      </c>
      <c r="G17" s="41">
        <v>81</v>
      </c>
      <c r="H17" s="41">
        <v>127</v>
      </c>
      <c r="I17" s="41">
        <v>122</v>
      </c>
      <c r="J17" s="41">
        <v>124.5</v>
      </c>
      <c r="K17" s="41">
        <v>80</v>
      </c>
      <c r="L17" s="41">
        <v>75</v>
      </c>
      <c r="M17" s="41">
        <v>77.5</v>
      </c>
      <c r="N17" s="41" t="s">
        <v>60</v>
      </c>
      <c r="O17" s="41" t="s">
        <v>19</v>
      </c>
      <c r="P17" s="42" t="s">
        <v>20</v>
      </c>
      <c r="Q17" s="41" t="s">
        <v>6</v>
      </c>
      <c r="R17" s="43">
        <v>5.6</v>
      </c>
      <c r="S17" s="41">
        <v>3.42</v>
      </c>
      <c r="T17" s="41">
        <v>2.44</v>
      </c>
      <c r="U17" s="41">
        <v>29.9</v>
      </c>
      <c r="V17" s="41">
        <v>4.28</v>
      </c>
      <c r="W17" s="41">
        <v>2.86</v>
      </c>
    </row>
    <row r="18" spans="1:23" x14ac:dyDescent="0.25">
      <c r="A18" t="s">
        <v>209</v>
      </c>
      <c r="B18" s="41">
        <v>27</v>
      </c>
      <c r="C18" s="41" t="s">
        <v>63</v>
      </c>
      <c r="D18" s="41">
        <v>1.53</v>
      </c>
      <c r="E18" s="41">
        <v>58</v>
      </c>
      <c r="F18" s="41">
        <v>24</v>
      </c>
      <c r="G18" s="41">
        <v>87</v>
      </c>
      <c r="H18" s="41">
        <v>110</v>
      </c>
      <c r="I18" s="41">
        <v>130</v>
      </c>
      <c r="J18" s="41">
        <v>120</v>
      </c>
      <c r="K18" s="41">
        <v>62</v>
      </c>
      <c r="L18" s="41">
        <v>73</v>
      </c>
      <c r="M18" s="41">
        <v>67.5</v>
      </c>
      <c r="N18" s="41" t="s">
        <v>59</v>
      </c>
      <c r="O18" s="41" t="s">
        <v>6</v>
      </c>
      <c r="P18" s="42" t="s">
        <v>6</v>
      </c>
      <c r="Q18" s="41" t="s">
        <v>6</v>
      </c>
      <c r="R18" s="43">
        <v>5.2</v>
      </c>
      <c r="S18" s="41">
        <v>2.91</v>
      </c>
      <c r="T18" s="41">
        <v>2.39</v>
      </c>
      <c r="U18" s="41">
        <v>33.799999999999997</v>
      </c>
      <c r="V18" s="41">
        <v>4.1500000000000004</v>
      </c>
      <c r="W18" s="41">
        <v>1.0900000000000001</v>
      </c>
    </row>
    <row r="19" spans="1:23" x14ac:dyDescent="0.25">
      <c r="A19" t="s">
        <v>210</v>
      </c>
      <c r="B19" s="41">
        <v>65</v>
      </c>
      <c r="C19" s="41" t="s">
        <v>63</v>
      </c>
      <c r="D19" s="41">
        <v>1.33</v>
      </c>
      <c r="E19" s="41">
        <v>33</v>
      </c>
      <c r="F19" s="41">
        <v>18</v>
      </c>
      <c r="G19" s="41">
        <v>73</v>
      </c>
      <c r="H19" s="41">
        <v>138</v>
      </c>
      <c r="I19" s="41">
        <v>118</v>
      </c>
      <c r="J19" s="41">
        <v>128</v>
      </c>
      <c r="K19" s="41">
        <v>75</v>
      </c>
      <c r="L19" s="41">
        <v>71</v>
      </c>
      <c r="M19" s="41">
        <v>73</v>
      </c>
      <c r="N19" s="41" t="s">
        <v>60</v>
      </c>
      <c r="O19" s="41" t="s">
        <v>15</v>
      </c>
      <c r="P19" s="42" t="s">
        <v>21</v>
      </c>
      <c r="Q19" s="41" t="s">
        <v>6</v>
      </c>
      <c r="R19" s="43">
        <v>5.5</v>
      </c>
      <c r="S19" s="41">
        <v>3.58</v>
      </c>
      <c r="T19" s="41">
        <v>2.0699999999999998</v>
      </c>
      <c r="U19" s="41">
        <v>28.3</v>
      </c>
      <c r="V19" s="41">
        <v>4.4800000000000004</v>
      </c>
      <c r="W19" s="41">
        <v>1.78</v>
      </c>
    </row>
    <row r="20" spans="1:23" x14ac:dyDescent="0.25">
      <c r="A20" t="s">
        <v>211</v>
      </c>
      <c r="B20" s="41">
        <v>36</v>
      </c>
      <c r="C20" s="41" t="s">
        <v>63</v>
      </c>
      <c r="D20" s="41">
        <v>1.46</v>
      </c>
      <c r="E20" s="41">
        <v>70</v>
      </c>
      <c r="F20" s="41">
        <v>32</v>
      </c>
      <c r="G20" s="41">
        <v>98</v>
      </c>
      <c r="H20" s="41">
        <v>151</v>
      </c>
      <c r="I20" s="41">
        <v>152</v>
      </c>
      <c r="J20" s="41">
        <v>151.5</v>
      </c>
      <c r="K20" s="41">
        <v>82</v>
      </c>
      <c r="L20" s="41">
        <v>106</v>
      </c>
      <c r="M20" s="41">
        <v>94</v>
      </c>
      <c r="N20" s="41" t="s">
        <v>59</v>
      </c>
      <c r="O20" s="41" t="s">
        <v>6</v>
      </c>
      <c r="P20" s="42" t="s">
        <v>6</v>
      </c>
      <c r="Q20" s="41" t="s">
        <v>6</v>
      </c>
      <c r="R20" s="43">
        <v>5</v>
      </c>
      <c r="S20" s="41">
        <v>4.08</v>
      </c>
      <c r="T20" s="41">
        <v>1.86</v>
      </c>
      <c r="U20" s="41">
        <v>15</v>
      </c>
      <c r="V20" s="41">
        <v>4.5599999999999996</v>
      </c>
      <c r="W20" s="41">
        <v>3.44</v>
      </c>
    </row>
    <row r="21" spans="1:23" x14ac:dyDescent="0.25">
      <c r="A21" t="s">
        <v>212</v>
      </c>
      <c r="B21" s="41">
        <v>42</v>
      </c>
      <c r="C21" s="41" t="s">
        <v>62</v>
      </c>
      <c r="D21" s="41">
        <v>1.66</v>
      </c>
      <c r="E21" s="41">
        <v>64</v>
      </c>
      <c r="F21" s="41">
        <v>23</v>
      </c>
      <c r="G21" s="41">
        <v>85</v>
      </c>
      <c r="H21" s="41">
        <v>138</v>
      </c>
      <c r="I21" s="41">
        <v>131</v>
      </c>
      <c r="J21" s="41">
        <v>134.5</v>
      </c>
      <c r="K21" s="41">
        <v>93</v>
      </c>
      <c r="L21" s="41">
        <v>92</v>
      </c>
      <c r="M21" s="41">
        <v>92.5</v>
      </c>
      <c r="N21" s="41" t="s">
        <v>60</v>
      </c>
      <c r="O21" s="41" t="s">
        <v>22</v>
      </c>
      <c r="P21" s="42" t="s">
        <v>21</v>
      </c>
      <c r="Q21" s="41" t="s">
        <v>6</v>
      </c>
      <c r="R21" s="43">
        <v>5.8</v>
      </c>
      <c r="S21" s="41">
        <v>3.68</v>
      </c>
      <c r="T21" s="41">
        <v>1.85</v>
      </c>
      <c r="U21" s="41">
        <v>30.1</v>
      </c>
      <c r="V21" s="41">
        <v>4.42</v>
      </c>
      <c r="W21" s="41">
        <v>2.83</v>
      </c>
    </row>
    <row r="22" spans="1:23" x14ac:dyDescent="0.25">
      <c r="A22" t="s">
        <v>213</v>
      </c>
      <c r="B22" s="41">
        <v>33</v>
      </c>
      <c r="C22" s="41" t="s">
        <v>62</v>
      </c>
      <c r="D22" s="41">
        <v>1.68</v>
      </c>
      <c r="E22" s="41">
        <v>78</v>
      </c>
      <c r="F22" s="41">
        <v>27</v>
      </c>
      <c r="G22" s="41">
        <v>97</v>
      </c>
      <c r="H22" s="41">
        <v>133</v>
      </c>
      <c r="I22" s="41">
        <v>140</v>
      </c>
      <c r="J22" s="41">
        <v>136.5</v>
      </c>
      <c r="K22" s="41">
        <v>98</v>
      </c>
      <c r="L22" s="41">
        <v>91</v>
      </c>
      <c r="M22" s="41">
        <v>94.5</v>
      </c>
      <c r="N22" s="41" t="s">
        <v>60</v>
      </c>
      <c r="O22" s="41" t="s">
        <v>23</v>
      </c>
      <c r="P22" s="42" t="s">
        <v>24</v>
      </c>
      <c r="Q22" s="41" t="s">
        <v>6</v>
      </c>
      <c r="R22" s="43">
        <v>5.7</v>
      </c>
      <c r="S22" s="41">
        <v>4.8</v>
      </c>
      <c r="T22" s="41">
        <v>2.76</v>
      </c>
      <c r="U22" s="41">
        <v>27.4</v>
      </c>
      <c r="V22" s="41">
        <v>5</v>
      </c>
      <c r="W22" s="41">
        <v>2.92</v>
      </c>
    </row>
    <row r="23" spans="1:23" x14ac:dyDescent="0.25">
      <c r="A23" t="s">
        <v>214</v>
      </c>
      <c r="B23" s="41">
        <v>57</v>
      </c>
      <c r="C23" s="41" t="s">
        <v>62</v>
      </c>
      <c r="D23" s="41">
        <v>1.51</v>
      </c>
      <c r="E23" s="41">
        <v>45</v>
      </c>
      <c r="F23" s="41">
        <v>19</v>
      </c>
      <c r="G23" s="41">
        <v>80</v>
      </c>
      <c r="H23" s="41">
        <v>166</v>
      </c>
      <c r="I23" s="41">
        <v>155</v>
      </c>
      <c r="J23" s="41">
        <v>160.5</v>
      </c>
      <c r="K23" s="41">
        <v>95</v>
      </c>
      <c r="L23" s="41">
        <v>97</v>
      </c>
      <c r="M23" s="41">
        <v>96</v>
      </c>
      <c r="N23" s="41" t="s">
        <v>61</v>
      </c>
      <c r="O23" s="41" t="s">
        <v>25</v>
      </c>
      <c r="P23" s="42" t="s">
        <v>6</v>
      </c>
      <c r="Q23" s="41" t="s">
        <v>26</v>
      </c>
      <c r="R23" s="43">
        <v>6</v>
      </c>
      <c r="S23" s="41">
        <v>3.01</v>
      </c>
      <c r="T23" s="41">
        <v>2.14</v>
      </c>
      <c r="U23" s="41">
        <v>30.2</v>
      </c>
      <c r="V23" s="41">
        <v>4.1399999999999997</v>
      </c>
      <c r="W23" s="41">
        <v>0.68</v>
      </c>
    </row>
    <row r="24" spans="1:23" x14ac:dyDescent="0.25">
      <c r="A24" t="s">
        <v>215</v>
      </c>
      <c r="B24" s="41">
        <v>54</v>
      </c>
      <c r="C24" s="41" t="s">
        <v>62</v>
      </c>
      <c r="D24" s="41">
        <v>1.57</v>
      </c>
      <c r="E24" s="41">
        <v>47</v>
      </c>
      <c r="F24" s="41">
        <v>19</v>
      </c>
      <c r="G24" s="41">
        <v>81</v>
      </c>
      <c r="H24" s="41">
        <v>133</v>
      </c>
      <c r="I24" s="41">
        <v>125</v>
      </c>
      <c r="J24" s="41">
        <v>129</v>
      </c>
      <c r="K24" s="41">
        <v>89</v>
      </c>
      <c r="L24" s="41">
        <v>89</v>
      </c>
      <c r="M24" s="41">
        <v>89</v>
      </c>
      <c r="N24" s="41" t="s">
        <v>59</v>
      </c>
      <c r="O24" s="41" t="s">
        <v>6</v>
      </c>
      <c r="P24" s="42" t="s">
        <v>6</v>
      </c>
      <c r="Q24" s="41" t="s">
        <v>6</v>
      </c>
      <c r="R24" s="43">
        <v>5.0999999999999996</v>
      </c>
      <c r="S24" s="41">
        <v>3.11</v>
      </c>
      <c r="T24" s="41">
        <v>2.2599999999999998</v>
      </c>
      <c r="U24" s="41">
        <v>26.1</v>
      </c>
      <c r="V24" s="41">
        <v>3.98</v>
      </c>
      <c r="W24" s="41">
        <v>1.75</v>
      </c>
    </row>
    <row r="25" spans="1:23" x14ac:dyDescent="0.25">
      <c r="A25" t="s">
        <v>216</v>
      </c>
      <c r="B25" s="41">
        <v>32</v>
      </c>
      <c r="C25" s="41" t="s">
        <v>63</v>
      </c>
      <c r="D25" s="41">
        <v>1.5</v>
      </c>
      <c r="E25" s="41">
        <v>68</v>
      </c>
      <c r="F25" s="41">
        <v>30</v>
      </c>
      <c r="G25" s="41">
        <v>88</v>
      </c>
      <c r="H25" s="41">
        <v>142</v>
      </c>
      <c r="I25" s="41">
        <v>119</v>
      </c>
      <c r="J25" s="41">
        <v>130.5</v>
      </c>
      <c r="K25" s="41">
        <v>88</v>
      </c>
      <c r="L25" s="41">
        <v>91</v>
      </c>
      <c r="M25" s="41">
        <v>89.5</v>
      </c>
      <c r="N25" s="41" t="s">
        <v>59</v>
      </c>
      <c r="O25" s="41" t="s">
        <v>6</v>
      </c>
      <c r="P25" s="42" t="s">
        <v>6</v>
      </c>
      <c r="Q25" s="41" t="s">
        <v>6</v>
      </c>
      <c r="R25" s="43">
        <v>5.6</v>
      </c>
      <c r="S25" s="41">
        <v>4.7699999999999996</v>
      </c>
      <c r="T25" s="41">
        <v>2.41</v>
      </c>
      <c r="U25" s="41">
        <v>20.5</v>
      </c>
      <c r="V25" s="41">
        <v>5.42</v>
      </c>
      <c r="W25" s="41">
        <v>1.28</v>
      </c>
    </row>
    <row r="26" spans="1:23" x14ac:dyDescent="0.25">
      <c r="A26" t="s">
        <v>217</v>
      </c>
      <c r="B26" s="41">
        <v>39</v>
      </c>
      <c r="C26" s="41" t="s">
        <v>62</v>
      </c>
      <c r="D26" s="41">
        <v>1.64</v>
      </c>
      <c r="E26" s="41">
        <v>57</v>
      </c>
      <c r="F26" s="41">
        <v>21</v>
      </c>
      <c r="G26" s="41">
        <v>78</v>
      </c>
      <c r="H26" s="41">
        <v>133</v>
      </c>
      <c r="I26" s="41">
        <v>133</v>
      </c>
      <c r="J26" s="41">
        <v>133</v>
      </c>
      <c r="K26" s="41">
        <v>98</v>
      </c>
      <c r="L26" s="41">
        <v>98</v>
      </c>
      <c r="M26" s="41">
        <v>98</v>
      </c>
      <c r="N26" s="41" t="s">
        <v>60</v>
      </c>
      <c r="O26" s="41" t="s">
        <v>27</v>
      </c>
      <c r="P26" s="42" t="s">
        <v>28</v>
      </c>
      <c r="Q26" s="41" t="s">
        <v>6</v>
      </c>
      <c r="R26" s="43">
        <v>5.4</v>
      </c>
      <c r="S26" s="41">
        <v>3.59</v>
      </c>
      <c r="T26" s="41">
        <v>2.76</v>
      </c>
      <c r="U26" s="41">
        <v>27.9</v>
      </c>
      <c r="V26" s="41">
        <v>3.94</v>
      </c>
      <c r="W26" s="41">
        <v>1.96</v>
      </c>
    </row>
    <row r="27" spans="1:23" x14ac:dyDescent="0.25">
      <c r="A27" t="s">
        <v>218</v>
      </c>
      <c r="B27" s="41">
        <v>32</v>
      </c>
      <c r="C27" s="41" t="s">
        <v>62</v>
      </c>
      <c r="D27" s="41">
        <v>1.57</v>
      </c>
      <c r="E27" s="41">
        <v>58</v>
      </c>
      <c r="F27" s="41">
        <v>23</v>
      </c>
      <c r="G27" s="41">
        <v>85</v>
      </c>
      <c r="H27" s="41">
        <v>117</v>
      </c>
      <c r="I27" s="41">
        <v>115</v>
      </c>
      <c r="J27" s="41">
        <v>116</v>
      </c>
      <c r="K27" s="41">
        <v>85</v>
      </c>
      <c r="L27" s="41">
        <v>83</v>
      </c>
      <c r="M27" s="41">
        <v>84</v>
      </c>
      <c r="N27" s="41" t="s">
        <v>60</v>
      </c>
      <c r="O27" s="41" t="s">
        <v>29</v>
      </c>
      <c r="P27" s="42" t="s">
        <v>30</v>
      </c>
      <c r="Q27" s="41" t="s">
        <v>6</v>
      </c>
      <c r="R27" s="43">
        <v>5.7</v>
      </c>
      <c r="S27" s="41">
        <v>4.0999999999999996</v>
      </c>
      <c r="T27" s="41">
        <v>1.46</v>
      </c>
      <c r="U27" s="41">
        <v>10.3</v>
      </c>
      <c r="V27" s="41">
        <v>4.13</v>
      </c>
      <c r="W27" s="41">
        <v>3.99</v>
      </c>
    </row>
    <row r="28" spans="1:23" x14ac:dyDescent="0.25">
      <c r="A28" t="s">
        <v>219</v>
      </c>
      <c r="B28" s="41">
        <v>30</v>
      </c>
      <c r="C28" s="41" t="s">
        <v>63</v>
      </c>
      <c r="D28" s="41">
        <v>1.45</v>
      </c>
      <c r="E28" s="41">
        <v>52</v>
      </c>
      <c r="F28" s="41" t="s">
        <v>7</v>
      </c>
      <c r="G28" s="41" t="s">
        <v>6</v>
      </c>
      <c r="H28" s="41">
        <v>119</v>
      </c>
      <c r="I28" s="41">
        <v>118</v>
      </c>
      <c r="J28" s="41">
        <v>118.5</v>
      </c>
      <c r="K28" s="41">
        <v>84</v>
      </c>
      <c r="L28" s="41">
        <v>85</v>
      </c>
      <c r="M28" s="41">
        <v>84.5</v>
      </c>
      <c r="N28" s="41" t="s">
        <v>59</v>
      </c>
      <c r="O28" s="41" t="s">
        <v>6</v>
      </c>
      <c r="P28" s="42" t="s">
        <v>6</v>
      </c>
      <c r="Q28" s="41" t="s">
        <v>6</v>
      </c>
      <c r="R28" s="41">
        <v>5.6</v>
      </c>
      <c r="S28" s="41">
        <v>3.43</v>
      </c>
      <c r="T28" s="41">
        <v>2.13</v>
      </c>
      <c r="U28" s="41">
        <v>18.600000000000001</v>
      </c>
      <c r="V28" s="41">
        <v>3.1</v>
      </c>
      <c r="W28" s="41">
        <v>1.77</v>
      </c>
    </row>
    <row r="29" spans="1:23" x14ac:dyDescent="0.25">
      <c r="A29" t="s">
        <v>220</v>
      </c>
      <c r="B29" s="41">
        <v>21</v>
      </c>
      <c r="C29" s="41" t="s">
        <v>62</v>
      </c>
      <c r="D29" s="41">
        <v>1.67</v>
      </c>
      <c r="E29" s="41">
        <v>54</v>
      </c>
      <c r="F29" s="41">
        <v>19</v>
      </c>
      <c r="G29" s="41">
        <v>69</v>
      </c>
      <c r="H29" s="41">
        <v>132</v>
      </c>
      <c r="I29" s="41">
        <v>123</v>
      </c>
      <c r="J29" s="41">
        <v>127.5</v>
      </c>
      <c r="K29" s="41">
        <v>73</v>
      </c>
      <c r="L29" s="41">
        <v>78</v>
      </c>
      <c r="M29" s="41">
        <v>75.5</v>
      </c>
      <c r="N29" s="41" t="s">
        <v>60</v>
      </c>
      <c r="O29" s="41" t="s">
        <v>31</v>
      </c>
      <c r="P29" s="42" t="s">
        <v>21</v>
      </c>
      <c r="Q29" s="41" t="s">
        <v>32</v>
      </c>
      <c r="R29" s="41">
        <v>5.6</v>
      </c>
      <c r="S29" s="41">
        <v>5.43</v>
      </c>
      <c r="T29" s="41">
        <v>1.85</v>
      </c>
      <c r="U29" s="41">
        <v>23.6</v>
      </c>
      <c r="V29" s="41">
        <v>3.1</v>
      </c>
      <c r="W29" s="41">
        <v>1.9</v>
      </c>
    </row>
    <row r="30" spans="1:23" x14ac:dyDescent="0.25">
      <c r="A30" t="s">
        <v>221</v>
      </c>
      <c r="B30" s="41">
        <v>57</v>
      </c>
      <c r="C30" s="41" t="s">
        <v>62</v>
      </c>
      <c r="D30" s="41">
        <v>1.56</v>
      </c>
      <c r="E30" s="41">
        <v>46</v>
      </c>
      <c r="F30" s="41">
        <v>18</v>
      </c>
      <c r="G30" s="41">
        <v>76</v>
      </c>
      <c r="H30" s="41">
        <v>116</v>
      </c>
      <c r="I30" s="41">
        <v>117</v>
      </c>
      <c r="J30" s="41">
        <v>116.5</v>
      </c>
      <c r="K30" s="41">
        <v>75</v>
      </c>
      <c r="L30" s="41">
        <v>79</v>
      </c>
      <c r="M30" s="41">
        <v>77</v>
      </c>
      <c r="N30" s="41" t="s">
        <v>60</v>
      </c>
      <c r="O30" s="41" t="s">
        <v>33</v>
      </c>
      <c r="P30" s="42" t="s">
        <v>34</v>
      </c>
      <c r="Q30" s="41" t="s">
        <v>6</v>
      </c>
      <c r="R30" s="43">
        <v>6</v>
      </c>
      <c r="S30" s="41">
        <v>5.53</v>
      </c>
      <c r="T30" s="41">
        <v>1.69</v>
      </c>
      <c r="U30" s="41">
        <v>14.2</v>
      </c>
      <c r="V30" s="41">
        <v>3.49</v>
      </c>
      <c r="W30" s="41">
        <v>1.28</v>
      </c>
    </row>
    <row r="31" spans="1:23" x14ac:dyDescent="0.25">
      <c r="A31" t="s">
        <v>222</v>
      </c>
      <c r="B31" s="41">
        <v>34</v>
      </c>
      <c r="C31" s="41" t="s">
        <v>63</v>
      </c>
      <c r="D31" s="41">
        <v>1.53</v>
      </c>
      <c r="E31" s="41">
        <v>67</v>
      </c>
      <c r="F31" s="41">
        <v>28</v>
      </c>
      <c r="G31" s="41">
        <v>105</v>
      </c>
      <c r="H31" s="41">
        <v>127</v>
      </c>
      <c r="I31" s="41">
        <v>113</v>
      </c>
      <c r="J31" s="41">
        <v>120</v>
      </c>
      <c r="K31" s="41">
        <v>79</v>
      </c>
      <c r="L31" s="41">
        <v>86</v>
      </c>
      <c r="M31" s="41">
        <v>82.5</v>
      </c>
      <c r="N31" s="41" t="s">
        <v>59</v>
      </c>
      <c r="O31" s="41" t="s">
        <v>6</v>
      </c>
      <c r="P31" s="42" t="s">
        <v>6</v>
      </c>
      <c r="Q31" s="41" t="s">
        <v>6</v>
      </c>
      <c r="R31" s="43">
        <v>6</v>
      </c>
      <c r="S31" s="41">
        <v>4.1500000000000004</v>
      </c>
      <c r="T31" s="41">
        <v>1.64</v>
      </c>
      <c r="U31" s="41">
        <v>16</v>
      </c>
      <c r="V31" s="41">
        <v>2.58</v>
      </c>
      <c r="W31" s="41">
        <v>0.51</v>
      </c>
    </row>
    <row r="32" spans="1:23" x14ac:dyDescent="0.25">
      <c r="A32" t="s">
        <v>223</v>
      </c>
      <c r="B32" s="41">
        <v>53</v>
      </c>
      <c r="C32" s="41" t="s">
        <v>62</v>
      </c>
      <c r="D32" s="41">
        <v>1.63</v>
      </c>
      <c r="E32" s="41">
        <v>73</v>
      </c>
      <c r="F32" s="41">
        <v>27</v>
      </c>
      <c r="G32" s="41">
        <v>92</v>
      </c>
      <c r="H32" s="41">
        <v>142</v>
      </c>
      <c r="I32" s="41">
        <v>132</v>
      </c>
      <c r="J32" s="41">
        <v>137</v>
      </c>
      <c r="K32" s="41">
        <v>86</v>
      </c>
      <c r="L32" s="41">
        <v>80</v>
      </c>
      <c r="M32" s="41">
        <v>83</v>
      </c>
      <c r="N32" s="41" t="s">
        <v>61</v>
      </c>
      <c r="O32" s="41" t="s">
        <v>33</v>
      </c>
      <c r="P32" s="42" t="s">
        <v>6</v>
      </c>
      <c r="Q32" s="41" t="s">
        <v>35</v>
      </c>
      <c r="R32" s="43">
        <v>5.6</v>
      </c>
      <c r="S32" s="41">
        <v>7.12</v>
      </c>
      <c r="T32" s="41">
        <v>1.54</v>
      </c>
      <c r="U32" s="41">
        <v>58</v>
      </c>
      <c r="V32" s="41">
        <v>5.08</v>
      </c>
      <c r="W32" s="41">
        <v>1.49</v>
      </c>
    </row>
    <row r="33" spans="1:23" x14ac:dyDescent="0.25">
      <c r="A33" t="s">
        <v>224</v>
      </c>
      <c r="B33" s="41">
        <v>66</v>
      </c>
      <c r="C33" s="41" t="s">
        <v>62</v>
      </c>
      <c r="D33" s="41">
        <v>1.51</v>
      </c>
      <c r="E33" s="41">
        <v>39</v>
      </c>
      <c r="F33" s="41">
        <v>17</v>
      </c>
      <c r="G33" s="41">
        <v>71</v>
      </c>
      <c r="H33" s="41">
        <v>135</v>
      </c>
      <c r="I33" s="41">
        <v>135</v>
      </c>
      <c r="J33" s="41">
        <v>135</v>
      </c>
      <c r="K33" s="41">
        <v>86</v>
      </c>
      <c r="L33" s="41">
        <v>84</v>
      </c>
      <c r="M33" s="41">
        <v>85</v>
      </c>
      <c r="N33" s="41" t="s">
        <v>60</v>
      </c>
      <c r="O33" s="41" t="s">
        <v>29</v>
      </c>
      <c r="P33" s="42" t="s">
        <v>36</v>
      </c>
      <c r="Q33" s="41" t="s">
        <v>6</v>
      </c>
      <c r="R33" s="43">
        <v>5.8</v>
      </c>
      <c r="S33" s="41">
        <v>5.13</v>
      </c>
      <c r="T33" s="41">
        <v>1.32</v>
      </c>
      <c r="U33" s="41">
        <v>16.100000000000001</v>
      </c>
      <c r="V33" s="41">
        <v>3.39</v>
      </c>
      <c r="W33" s="41">
        <v>1.67</v>
      </c>
    </row>
    <row r="34" spans="1:23" x14ac:dyDescent="0.25">
      <c r="A34" t="s">
        <v>225</v>
      </c>
      <c r="B34" s="41">
        <v>58</v>
      </c>
      <c r="C34" s="41" t="s">
        <v>63</v>
      </c>
      <c r="D34" s="41">
        <v>1.42</v>
      </c>
      <c r="E34" s="41">
        <v>41</v>
      </c>
      <c r="F34" s="41">
        <v>20</v>
      </c>
      <c r="G34" s="41">
        <v>77</v>
      </c>
      <c r="H34" s="41">
        <v>171</v>
      </c>
      <c r="I34" s="41">
        <v>154</v>
      </c>
      <c r="J34" s="41">
        <v>162.5</v>
      </c>
      <c r="K34" s="41">
        <v>95</v>
      </c>
      <c r="L34" s="41">
        <v>84</v>
      </c>
      <c r="M34" s="41">
        <v>89.5</v>
      </c>
      <c r="N34" s="41" t="s">
        <v>60</v>
      </c>
      <c r="O34" s="41" t="s">
        <v>6</v>
      </c>
      <c r="P34" s="42" t="s">
        <v>6</v>
      </c>
      <c r="Q34" s="41" t="s">
        <v>6</v>
      </c>
      <c r="R34" s="43">
        <v>5.9</v>
      </c>
      <c r="S34" s="41">
        <v>6.07</v>
      </c>
      <c r="T34" s="41">
        <v>1.61</v>
      </c>
      <c r="U34" s="41">
        <v>40.700000000000003</v>
      </c>
      <c r="V34" s="41">
        <v>4.38</v>
      </c>
      <c r="W34" s="41">
        <v>1.2</v>
      </c>
    </row>
    <row r="35" spans="1:23" x14ac:dyDescent="0.25">
      <c r="A35" t="s">
        <v>226</v>
      </c>
      <c r="B35" s="41">
        <v>19</v>
      </c>
      <c r="C35" s="41" t="s">
        <v>63</v>
      </c>
      <c r="D35" s="41">
        <v>1.57</v>
      </c>
      <c r="E35" s="41">
        <v>55</v>
      </c>
      <c r="F35" s="41">
        <v>22</v>
      </c>
      <c r="G35" s="41">
        <v>82</v>
      </c>
      <c r="H35" s="41">
        <v>134</v>
      </c>
      <c r="I35" s="41">
        <v>125</v>
      </c>
      <c r="J35" s="41">
        <v>129.5</v>
      </c>
      <c r="K35" s="41">
        <v>87</v>
      </c>
      <c r="L35" s="41">
        <v>84</v>
      </c>
      <c r="M35" s="41">
        <v>85.5</v>
      </c>
      <c r="N35" s="41" t="s">
        <v>59</v>
      </c>
      <c r="O35" s="41" t="s">
        <v>6</v>
      </c>
      <c r="P35" s="42" t="s">
        <v>6</v>
      </c>
      <c r="Q35" s="41" t="s">
        <v>6</v>
      </c>
      <c r="R35" s="43">
        <v>5.7</v>
      </c>
      <c r="S35" s="41">
        <v>6.24</v>
      </c>
      <c r="T35" s="41">
        <v>1.82</v>
      </c>
      <c r="U35" s="41">
        <v>30.4</v>
      </c>
      <c r="V35" s="41">
        <v>4.46</v>
      </c>
      <c r="W35" s="41">
        <v>0.97</v>
      </c>
    </row>
    <row r="36" spans="1:23" x14ac:dyDescent="0.25">
      <c r="A36" t="s">
        <v>227</v>
      </c>
      <c r="B36" s="41">
        <v>36</v>
      </c>
      <c r="C36" s="41" t="s">
        <v>63</v>
      </c>
      <c r="D36" s="41">
        <v>1.54</v>
      </c>
      <c r="E36" s="41">
        <v>69</v>
      </c>
      <c r="F36" s="41">
        <v>29</v>
      </c>
      <c r="G36" s="41">
        <v>100</v>
      </c>
      <c r="H36" s="41">
        <v>134</v>
      </c>
      <c r="I36" s="41">
        <v>140</v>
      </c>
      <c r="J36" s="41">
        <v>137</v>
      </c>
      <c r="K36" s="41">
        <v>70</v>
      </c>
      <c r="L36" s="41">
        <v>84</v>
      </c>
      <c r="M36" s="41">
        <v>77</v>
      </c>
      <c r="N36" s="41" t="s">
        <v>59</v>
      </c>
      <c r="O36" s="41" t="s">
        <v>6</v>
      </c>
      <c r="P36" s="42" t="s">
        <v>6</v>
      </c>
      <c r="Q36" s="41" t="s">
        <v>6</v>
      </c>
      <c r="R36" s="41">
        <v>5.6</v>
      </c>
      <c r="S36" s="41">
        <v>4</v>
      </c>
      <c r="T36" s="41">
        <v>2.21</v>
      </c>
      <c r="U36" s="41">
        <v>32.6</v>
      </c>
      <c r="V36" s="41">
        <v>1.83</v>
      </c>
      <c r="W36" s="41">
        <v>0.81</v>
      </c>
    </row>
    <row r="37" spans="1:23" x14ac:dyDescent="0.25">
      <c r="A37" t="s">
        <v>228</v>
      </c>
      <c r="B37" s="41">
        <v>25</v>
      </c>
      <c r="C37" s="41" t="s">
        <v>63</v>
      </c>
      <c r="D37" s="41">
        <v>1.52</v>
      </c>
      <c r="E37" s="41">
        <v>56</v>
      </c>
      <c r="F37" s="41">
        <v>24</v>
      </c>
      <c r="G37" s="41">
        <v>82</v>
      </c>
      <c r="H37" s="41">
        <v>122</v>
      </c>
      <c r="I37" s="41">
        <v>119</v>
      </c>
      <c r="J37" s="41">
        <v>120.5</v>
      </c>
      <c r="K37" s="41">
        <v>86</v>
      </c>
      <c r="L37" s="41">
        <v>84</v>
      </c>
      <c r="M37" s="41">
        <v>85</v>
      </c>
      <c r="N37" s="41" t="s">
        <v>59</v>
      </c>
      <c r="O37" s="41" t="s">
        <v>6</v>
      </c>
      <c r="P37" s="42" t="s">
        <v>6</v>
      </c>
      <c r="Q37" s="41" t="s">
        <v>6</v>
      </c>
      <c r="R37" s="43">
        <v>5</v>
      </c>
      <c r="S37" s="41">
        <v>7.84</v>
      </c>
      <c r="T37" s="41">
        <v>2.6</v>
      </c>
      <c r="U37" s="41">
        <v>40.1</v>
      </c>
      <c r="V37" s="41">
        <v>5.19</v>
      </c>
      <c r="W37" s="41">
        <v>1.24</v>
      </c>
    </row>
    <row r="38" spans="1:23" x14ac:dyDescent="0.25">
      <c r="A38" t="s">
        <v>229</v>
      </c>
      <c r="B38" s="41">
        <v>23</v>
      </c>
      <c r="C38" s="41" t="s">
        <v>63</v>
      </c>
      <c r="D38" s="41">
        <v>1.43</v>
      </c>
      <c r="E38" s="41">
        <v>51</v>
      </c>
      <c r="F38" s="41">
        <v>24</v>
      </c>
      <c r="G38" s="41">
        <v>77</v>
      </c>
      <c r="H38" s="41">
        <v>124</v>
      </c>
      <c r="I38" s="41">
        <v>116</v>
      </c>
      <c r="J38" s="41">
        <v>120</v>
      </c>
      <c r="K38" s="41">
        <v>81</v>
      </c>
      <c r="L38" s="41">
        <v>77</v>
      </c>
      <c r="M38" s="41">
        <v>79</v>
      </c>
      <c r="N38" s="41" t="s">
        <v>60</v>
      </c>
      <c r="O38" s="41" t="s">
        <v>6</v>
      </c>
      <c r="P38" s="42" t="s">
        <v>6</v>
      </c>
      <c r="Q38" s="41" t="s">
        <v>6</v>
      </c>
      <c r="R38" s="41">
        <v>5.4</v>
      </c>
      <c r="S38" s="41">
        <v>5.68</v>
      </c>
      <c r="T38" s="41">
        <v>1.67</v>
      </c>
      <c r="U38" s="41">
        <v>24.2</v>
      </c>
      <c r="V38" s="41">
        <v>4.01</v>
      </c>
      <c r="W38" s="41">
        <v>0.98</v>
      </c>
    </row>
    <row r="39" spans="1:23" x14ac:dyDescent="0.25">
      <c r="A39" t="s">
        <v>230</v>
      </c>
      <c r="B39" s="41">
        <v>20</v>
      </c>
      <c r="C39" s="41" t="s">
        <v>62</v>
      </c>
      <c r="D39" s="41">
        <v>1.63</v>
      </c>
      <c r="E39" s="41">
        <v>59</v>
      </c>
      <c r="F39" s="41">
        <v>22</v>
      </c>
      <c r="G39" s="41">
        <v>77</v>
      </c>
      <c r="H39" s="41">
        <v>118</v>
      </c>
      <c r="I39" s="41">
        <v>116</v>
      </c>
      <c r="J39" s="41">
        <v>117</v>
      </c>
      <c r="K39" s="41">
        <v>72</v>
      </c>
      <c r="L39" s="41">
        <v>67</v>
      </c>
      <c r="M39" s="41">
        <v>69.5</v>
      </c>
      <c r="N39" s="41" t="s">
        <v>60</v>
      </c>
      <c r="O39" s="41" t="s">
        <v>37</v>
      </c>
      <c r="P39" s="42" t="s">
        <v>36</v>
      </c>
      <c r="Q39" s="41" t="s">
        <v>6</v>
      </c>
      <c r="R39" s="43">
        <v>5.3</v>
      </c>
      <c r="S39" s="41">
        <v>6.05</v>
      </c>
      <c r="T39" s="41">
        <v>1.66</v>
      </c>
      <c r="U39" s="41">
        <v>17.100000000000001</v>
      </c>
      <c r="V39" s="41">
        <v>4.21</v>
      </c>
      <c r="W39" s="41">
        <v>1.41</v>
      </c>
    </row>
    <row r="40" spans="1:23" x14ac:dyDescent="0.25">
      <c r="A40" t="s">
        <v>231</v>
      </c>
      <c r="B40" s="41">
        <v>21</v>
      </c>
      <c r="C40" s="41" t="s">
        <v>63</v>
      </c>
      <c r="D40" s="41">
        <v>1.45</v>
      </c>
      <c r="E40" s="41">
        <v>51</v>
      </c>
      <c r="F40" s="41">
        <v>24</v>
      </c>
      <c r="G40" s="41">
        <v>83</v>
      </c>
      <c r="H40" s="41">
        <v>131</v>
      </c>
      <c r="I40" s="41">
        <v>131</v>
      </c>
      <c r="J40" s="41">
        <v>131</v>
      </c>
      <c r="K40" s="41">
        <v>95</v>
      </c>
      <c r="L40" s="41">
        <v>89</v>
      </c>
      <c r="M40" s="41">
        <v>92</v>
      </c>
      <c r="N40" s="41" t="s">
        <v>59</v>
      </c>
      <c r="O40" s="41" t="s">
        <v>6</v>
      </c>
      <c r="P40" s="42" t="s">
        <v>6</v>
      </c>
      <c r="Q40" s="41" t="s">
        <v>6</v>
      </c>
      <c r="R40" s="43">
        <v>5.3</v>
      </c>
      <c r="S40" s="41">
        <v>9.1</v>
      </c>
      <c r="T40" s="41">
        <v>2.12</v>
      </c>
      <c r="U40" s="41">
        <v>21</v>
      </c>
      <c r="V40" s="41">
        <v>6.77</v>
      </c>
      <c r="W40" s="41">
        <v>1.21</v>
      </c>
    </row>
    <row r="41" spans="1:23" x14ac:dyDescent="0.25">
      <c r="A41" t="s">
        <v>232</v>
      </c>
      <c r="B41" s="41">
        <v>45</v>
      </c>
      <c r="C41" s="41" t="s">
        <v>63</v>
      </c>
      <c r="D41" s="41">
        <v>1.37</v>
      </c>
      <c r="E41" s="41">
        <v>38</v>
      </c>
      <c r="F41" s="41">
        <v>20</v>
      </c>
      <c r="G41" s="41">
        <v>71</v>
      </c>
      <c r="H41" s="41">
        <v>126</v>
      </c>
      <c r="I41" s="41">
        <v>119</v>
      </c>
      <c r="J41" s="41">
        <v>122.5</v>
      </c>
      <c r="K41" s="41">
        <v>80</v>
      </c>
      <c r="L41" s="41">
        <v>83</v>
      </c>
      <c r="M41" s="41">
        <v>81.5</v>
      </c>
      <c r="N41" s="41" t="s">
        <v>60</v>
      </c>
      <c r="O41" s="41" t="s">
        <v>38</v>
      </c>
      <c r="P41" s="42" t="s">
        <v>39</v>
      </c>
      <c r="Q41" s="41" t="s">
        <v>6</v>
      </c>
      <c r="R41" s="43">
        <v>5.9</v>
      </c>
      <c r="S41" s="41">
        <v>6.66</v>
      </c>
      <c r="T41" s="41">
        <v>2.06</v>
      </c>
      <c r="U41" s="41">
        <v>32.200000000000003</v>
      </c>
      <c r="V41" s="41">
        <v>4.6900000000000004</v>
      </c>
      <c r="W41" s="41">
        <v>0.99</v>
      </c>
    </row>
    <row r="42" spans="1:23" x14ac:dyDescent="0.25">
      <c r="A42" t="s">
        <v>233</v>
      </c>
      <c r="B42" s="41">
        <v>51</v>
      </c>
      <c r="C42" s="41" t="s">
        <v>62</v>
      </c>
      <c r="D42" s="41">
        <v>1.49</v>
      </c>
      <c r="E42" s="41">
        <v>48</v>
      </c>
      <c r="F42" s="41">
        <v>21</v>
      </c>
      <c r="G42" s="41">
        <v>71</v>
      </c>
      <c r="H42" s="41">
        <v>105</v>
      </c>
      <c r="I42" s="41">
        <v>107</v>
      </c>
      <c r="J42" s="41">
        <v>106</v>
      </c>
      <c r="K42" s="41">
        <v>75</v>
      </c>
      <c r="L42" s="41">
        <v>78</v>
      </c>
      <c r="M42" s="41">
        <v>76.5</v>
      </c>
      <c r="N42" s="41" t="s">
        <v>60</v>
      </c>
      <c r="O42" s="41" t="s">
        <v>33</v>
      </c>
      <c r="P42" s="42" t="s">
        <v>39</v>
      </c>
      <c r="Q42" s="41" t="s">
        <v>6</v>
      </c>
      <c r="R42" s="43">
        <v>6</v>
      </c>
      <c r="S42" s="41">
        <v>5.32</v>
      </c>
      <c r="T42" s="41">
        <v>1.71</v>
      </c>
      <c r="U42" s="41">
        <v>38</v>
      </c>
      <c r="V42" s="41">
        <v>3.16</v>
      </c>
      <c r="W42" s="41">
        <v>2.23</v>
      </c>
    </row>
    <row r="43" spans="1:23" x14ac:dyDescent="0.25">
      <c r="A43" t="s">
        <v>234</v>
      </c>
      <c r="B43" s="41">
        <v>40</v>
      </c>
      <c r="C43" s="41" t="s">
        <v>63</v>
      </c>
      <c r="D43" s="41">
        <v>1.33</v>
      </c>
      <c r="E43" s="41">
        <v>39</v>
      </c>
      <c r="F43" s="41">
        <v>22</v>
      </c>
      <c r="G43" s="41">
        <v>86</v>
      </c>
      <c r="H43" s="41">
        <v>121</v>
      </c>
      <c r="I43" s="41">
        <v>123</v>
      </c>
      <c r="J43" s="41">
        <v>122</v>
      </c>
      <c r="K43" s="41">
        <v>69</v>
      </c>
      <c r="L43" s="41">
        <v>69</v>
      </c>
      <c r="M43" s="41">
        <v>69</v>
      </c>
      <c r="N43" s="41" t="s">
        <v>59</v>
      </c>
      <c r="O43" s="41" t="s">
        <v>6</v>
      </c>
      <c r="P43" s="42" t="s">
        <v>6</v>
      </c>
      <c r="Q43" s="41" t="s">
        <v>6</v>
      </c>
      <c r="R43" s="43">
        <v>6</v>
      </c>
      <c r="S43" s="41">
        <v>5.32</v>
      </c>
      <c r="T43" s="41">
        <v>1.83</v>
      </c>
      <c r="U43" s="41">
        <v>34.6</v>
      </c>
      <c r="V43" s="41">
        <v>3.4</v>
      </c>
      <c r="W43" s="41">
        <v>1.28</v>
      </c>
    </row>
    <row r="44" spans="1:23" x14ac:dyDescent="0.25">
      <c r="A44" t="s">
        <v>235</v>
      </c>
      <c r="B44" s="41">
        <v>21</v>
      </c>
      <c r="C44" s="41" t="s">
        <v>62</v>
      </c>
      <c r="D44" s="41">
        <v>1.65</v>
      </c>
      <c r="E44" s="41">
        <v>59</v>
      </c>
      <c r="F44" s="41">
        <v>21</v>
      </c>
      <c r="G44" s="41">
        <v>74</v>
      </c>
      <c r="H44" s="41">
        <v>144</v>
      </c>
      <c r="I44" s="41">
        <v>117</v>
      </c>
      <c r="J44" s="41">
        <v>130.5</v>
      </c>
      <c r="K44" s="41">
        <v>80</v>
      </c>
      <c r="L44" s="41">
        <v>77</v>
      </c>
      <c r="M44" s="41">
        <v>78.5</v>
      </c>
      <c r="N44" s="41" t="s">
        <v>61</v>
      </c>
      <c r="O44" s="41" t="s">
        <v>25</v>
      </c>
      <c r="P44" s="42" t="s">
        <v>6</v>
      </c>
      <c r="Q44" s="41" t="s">
        <v>14</v>
      </c>
      <c r="R44" s="43">
        <v>5.5</v>
      </c>
      <c r="S44" s="41">
        <v>4.53</v>
      </c>
      <c r="T44" s="41">
        <v>1.56</v>
      </c>
      <c r="U44" s="41">
        <v>18.2</v>
      </c>
      <c r="V44" s="41">
        <v>2.99</v>
      </c>
      <c r="W44" s="41">
        <v>0.77</v>
      </c>
    </row>
    <row r="45" spans="1:23" x14ac:dyDescent="0.25">
      <c r="A45" t="s">
        <v>236</v>
      </c>
      <c r="B45" s="41">
        <v>19</v>
      </c>
      <c r="C45" s="41" t="s">
        <v>62</v>
      </c>
      <c r="D45" s="41">
        <v>1.6</v>
      </c>
      <c r="E45" s="41">
        <v>59</v>
      </c>
      <c r="F45" s="41">
        <v>23</v>
      </c>
      <c r="G45" s="41">
        <v>77</v>
      </c>
      <c r="H45" s="41">
        <v>129</v>
      </c>
      <c r="I45" s="41">
        <v>126</v>
      </c>
      <c r="J45" s="41">
        <v>127.5</v>
      </c>
      <c r="K45" s="41">
        <v>84</v>
      </c>
      <c r="L45" s="41">
        <v>84</v>
      </c>
      <c r="M45" s="41">
        <v>84</v>
      </c>
      <c r="N45" s="41" t="s">
        <v>60</v>
      </c>
      <c r="O45" s="41" t="s">
        <v>40</v>
      </c>
      <c r="P45" s="42" t="s">
        <v>30</v>
      </c>
      <c r="Q45" s="41" t="s">
        <v>6</v>
      </c>
      <c r="R45" s="43">
        <v>5.5</v>
      </c>
      <c r="S45" s="41">
        <v>4.78</v>
      </c>
      <c r="T45" s="41">
        <v>1.51</v>
      </c>
      <c r="U45" s="41">
        <v>16.3</v>
      </c>
      <c r="V45" s="41">
        <v>3.14</v>
      </c>
      <c r="W45" s="41">
        <v>0.94</v>
      </c>
    </row>
    <row r="46" spans="1:23" x14ac:dyDescent="0.25">
      <c r="A46" t="s">
        <v>237</v>
      </c>
      <c r="B46" s="41">
        <v>27</v>
      </c>
      <c r="C46" s="41" t="s">
        <v>62</v>
      </c>
      <c r="D46" s="41">
        <v>1.63</v>
      </c>
      <c r="E46" s="41">
        <v>65</v>
      </c>
      <c r="F46" s="41">
        <v>24</v>
      </c>
      <c r="G46" s="41">
        <v>82</v>
      </c>
      <c r="H46" s="41">
        <v>110</v>
      </c>
      <c r="I46" s="41">
        <v>114</v>
      </c>
      <c r="J46" s="41">
        <v>112</v>
      </c>
      <c r="K46" s="41">
        <v>78</v>
      </c>
      <c r="L46" s="41">
        <v>71</v>
      </c>
      <c r="M46" s="41">
        <v>74.5</v>
      </c>
      <c r="N46" s="41" t="s">
        <v>60</v>
      </c>
      <c r="O46" s="41" t="s">
        <v>25</v>
      </c>
      <c r="P46" s="42" t="s">
        <v>30</v>
      </c>
      <c r="Q46" s="41" t="s">
        <v>6</v>
      </c>
      <c r="R46" s="43">
        <v>5.5</v>
      </c>
      <c r="S46" s="41">
        <v>5.2</v>
      </c>
      <c r="T46" s="41">
        <v>1.32</v>
      </c>
      <c r="U46" s="41">
        <v>27.1</v>
      </c>
      <c r="V46" s="41">
        <v>3.5</v>
      </c>
      <c r="W46" s="41">
        <v>2</v>
      </c>
    </row>
    <row r="47" spans="1:23" x14ac:dyDescent="0.25">
      <c r="A47" t="s">
        <v>238</v>
      </c>
      <c r="B47" s="41">
        <v>18</v>
      </c>
      <c r="C47" s="41" t="s">
        <v>62</v>
      </c>
      <c r="D47" s="41">
        <v>1.64</v>
      </c>
      <c r="E47" s="41">
        <v>54</v>
      </c>
      <c r="F47" s="41">
        <v>20</v>
      </c>
      <c r="G47" s="41">
        <v>72</v>
      </c>
      <c r="H47" s="41">
        <v>140</v>
      </c>
      <c r="I47" s="41">
        <v>130</v>
      </c>
      <c r="J47" s="41">
        <v>135</v>
      </c>
      <c r="K47" s="41">
        <v>84</v>
      </c>
      <c r="L47" s="41">
        <v>62</v>
      </c>
      <c r="M47" s="41">
        <v>73</v>
      </c>
      <c r="N47" s="41" t="s">
        <v>60</v>
      </c>
      <c r="O47" s="41" t="s">
        <v>17</v>
      </c>
      <c r="P47" s="42" t="s">
        <v>30</v>
      </c>
      <c r="Q47" s="41" t="s">
        <v>6</v>
      </c>
      <c r="R47" s="43">
        <v>5.9</v>
      </c>
      <c r="S47" s="41">
        <v>5.15</v>
      </c>
      <c r="T47" s="41">
        <v>1.89</v>
      </c>
      <c r="U47" s="41">
        <v>16.7</v>
      </c>
      <c r="V47" s="41">
        <v>3.45</v>
      </c>
      <c r="W47" s="41">
        <v>0.83</v>
      </c>
    </row>
    <row r="48" spans="1:23" x14ac:dyDescent="0.25">
      <c r="A48" t="s">
        <v>239</v>
      </c>
      <c r="B48" s="41">
        <v>31</v>
      </c>
      <c r="C48" s="41" t="s">
        <v>62</v>
      </c>
      <c r="D48" s="41">
        <v>1.62</v>
      </c>
      <c r="E48" s="41">
        <v>68</v>
      </c>
      <c r="F48" s="41">
        <v>25</v>
      </c>
      <c r="G48" s="41">
        <v>85</v>
      </c>
      <c r="H48" s="41">
        <v>140</v>
      </c>
      <c r="I48" s="41">
        <v>136</v>
      </c>
      <c r="J48" s="41">
        <v>138</v>
      </c>
      <c r="K48" s="41">
        <v>80</v>
      </c>
      <c r="L48" s="41">
        <v>84</v>
      </c>
      <c r="M48" s="41">
        <v>82</v>
      </c>
      <c r="N48" s="41" t="s">
        <v>60</v>
      </c>
      <c r="O48" s="41" t="s">
        <v>17</v>
      </c>
      <c r="P48" s="42" t="s">
        <v>30</v>
      </c>
      <c r="Q48" s="41" t="s">
        <v>6</v>
      </c>
      <c r="R48" s="43">
        <v>5.7</v>
      </c>
      <c r="S48" s="41">
        <v>5.47</v>
      </c>
      <c r="T48" s="41">
        <v>1.67</v>
      </c>
      <c r="U48" s="41">
        <v>21.4</v>
      </c>
      <c r="V48" s="41">
        <v>3.35</v>
      </c>
      <c r="W48" s="41">
        <v>2.2400000000000002</v>
      </c>
    </row>
    <row r="49" spans="1:23" x14ac:dyDescent="0.25">
      <c r="A49" t="s">
        <v>240</v>
      </c>
      <c r="B49" s="41">
        <v>25</v>
      </c>
      <c r="C49" s="41" t="s">
        <v>63</v>
      </c>
      <c r="D49" s="41">
        <v>1.44</v>
      </c>
      <c r="E49" s="41">
        <v>52</v>
      </c>
      <c r="F49" s="41">
        <v>25</v>
      </c>
      <c r="G49" s="41">
        <v>77</v>
      </c>
      <c r="H49" s="41">
        <v>117</v>
      </c>
      <c r="I49" s="41">
        <v>101</v>
      </c>
      <c r="J49" s="41">
        <v>109</v>
      </c>
      <c r="K49" s="41">
        <v>81</v>
      </c>
      <c r="L49" s="41">
        <v>66</v>
      </c>
      <c r="M49" s="41">
        <v>73.5</v>
      </c>
      <c r="N49" s="41" t="s">
        <v>59</v>
      </c>
      <c r="O49" s="41" t="s">
        <v>6</v>
      </c>
      <c r="P49" s="42" t="s">
        <v>6</v>
      </c>
      <c r="Q49" s="41" t="s">
        <v>6</v>
      </c>
      <c r="R49" s="43">
        <v>5.5</v>
      </c>
      <c r="S49" s="41">
        <v>4.3600000000000003</v>
      </c>
      <c r="T49" s="41">
        <v>1.84</v>
      </c>
      <c r="U49" s="41">
        <v>35.1</v>
      </c>
      <c r="V49" s="41">
        <v>2.5099999999999998</v>
      </c>
      <c r="W49" s="41">
        <v>0.88</v>
      </c>
    </row>
    <row r="50" spans="1:23" x14ac:dyDescent="0.25">
      <c r="A50" t="s">
        <v>241</v>
      </c>
      <c r="B50" s="41">
        <v>55</v>
      </c>
      <c r="C50" s="41" t="s">
        <v>63</v>
      </c>
      <c r="D50" s="41">
        <v>1.54</v>
      </c>
      <c r="E50" s="41">
        <v>57</v>
      </c>
      <c r="F50" s="41">
        <v>24</v>
      </c>
      <c r="G50" s="41">
        <v>86</v>
      </c>
      <c r="H50" s="41">
        <v>127</v>
      </c>
      <c r="I50" s="41">
        <v>122</v>
      </c>
      <c r="J50" s="41">
        <v>124.5</v>
      </c>
      <c r="K50" s="41">
        <v>86</v>
      </c>
      <c r="L50" s="41">
        <v>91</v>
      </c>
      <c r="M50" s="41">
        <v>88.5</v>
      </c>
      <c r="N50" s="41" t="s">
        <v>60</v>
      </c>
      <c r="O50" s="41" t="s">
        <v>41</v>
      </c>
      <c r="P50" s="42" t="s">
        <v>34</v>
      </c>
      <c r="Q50" s="41" t="s">
        <v>6</v>
      </c>
      <c r="R50" s="43">
        <v>14.5</v>
      </c>
      <c r="S50" s="41">
        <v>5.67</v>
      </c>
      <c r="T50" s="41">
        <v>2.58</v>
      </c>
      <c r="U50" s="41">
        <v>20.7</v>
      </c>
      <c r="V50" s="41">
        <v>3.13</v>
      </c>
      <c r="W50" s="41">
        <v>0.87</v>
      </c>
    </row>
    <row r="51" spans="1:23" x14ac:dyDescent="0.25">
      <c r="A51" t="s">
        <v>242</v>
      </c>
      <c r="B51" s="41">
        <v>39</v>
      </c>
      <c r="C51" s="41" t="s">
        <v>63</v>
      </c>
      <c r="D51" s="41">
        <v>1.44</v>
      </c>
      <c r="E51" s="41">
        <v>60</v>
      </c>
      <c r="F51" s="41">
        <v>28</v>
      </c>
      <c r="G51" s="41">
        <v>87</v>
      </c>
      <c r="H51" s="41">
        <v>118</v>
      </c>
      <c r="I51" s="41">
        <v>116</v>
      </c>
      <c r="J51" s="41">
        <v>117</v>
      </c>
      <c r="K51" s="41">
        <v>73</v>
      </c>
      <c r="L51" s="41">
        <v>67</v>
      </c>
      <c r="M51" s="41">
        <v>70</v>
      </c>
      <c r="N51" s="41" t="s">
        <v>59</v>
      </c>
      <c r="O51" s="41" t="s">
        <v>6</v>
      </c>
      <c r="P51" s="42" t="s">
        <v>6</v>
      </c>
      <c r="Q51" s="41" t="s">
        <v>6</v>
      </c>
      <c r="R51" s="43">
        <v>6.1</v>
      </c>
      <c r="S51" s="41">
        <v>5.45</v>
      </c>
      <c r="T51" s="41">
        <v>1.76</v>
      </c>
      <c r="U51" s="41">
        <v>47</v>
      </c>
      <c r="V51" s="41">
        <v>3.48</v>
      </c>
      <c r="W51" s="41">
        <v>1.48</v>
      </c>
    </row>
    <row r="52" spans="1:23" x14ac:dyDescent="0.25">
      <c r="A52" t="s">
        <v>243</v>
      </c>
      <c r="B52" s="41">
        <v>20</v>
      </c>
      <c r="C52" s="41" t="s">
        <v>62</v>
      </c>
      <c r="D52" s="41">
        <v>1.66</v>
      </c>
      <c r="E52" s="41">
        <v>52</v>
      </c>
      <c r="F52" s="41">
        <v>18</v>
      </c>
      <c r="G52" s="41">
        <v>70</v>
      </c>
      <c r="H52" s="41">
        <v>117</v>
      </c>
      <c r="I52" s="41">
        <v>116</v>
      </c>
      <c r="J52" s="41">
        <v>116.5</v>
      </c>
      <c r="K52" s="41">
        <v>76</v>
      </c>
      <c r="L52" s="41">
        <v>73</v>
      </c>
      <c r="M52" s="41">
        <v>74.5</v>
      </c>
      <c r="N52" s="41" t="s">
        <v>59</v>
      </c>
      <c r="O52" s="41" t="s">
        <v>6</v>
      </c>
      <c r="P52" s="42" t="s">
        <v>6</v>
      </c>
      <c r="Q52" s="41" t="s">
        <v>6</v>
      </c>
      <c r="R52" s="43">
        <v>5.4</v>
      </c>
      <c r="S52" s="41">
        <v>4.66</v>
      </c>
      <c r="T52" s="41">
        <v>1.19</v>
      </c>
      <c r="U52" s="41">
        <v>22.4</v>
      </c>
      <c r="V52" s="41">
        <v>3.32</v>
      </c>
      <c r="W52" s="41">
        <v>0.93</v>
      </c>
    </row>
    <row r="53" spans="1:23" x14ac:dyDescent="0.25">
      <c r="A53" t="s">
        <v>244</v>
      </c>
      <c r="B53" s="41">
        <v>16</v>
      </c>
      <c r="C53" s="41" t="s">
        <v>63</v>
      </c>
      <c r="D53" s="41">
        <v>1.53</v>
      </c>
      <c r="E53" s="41">
        <v>58</v>
      </c>
      <c r="F53" s="41">
        <v>24</v>
      </c>
      <c r="G53" s="41">
        <v>83</v>
      </c>
      <c r="H53" s="41">
        <v>133</v>
      </c>
      <c r="I53" s="41">
        <v>116</v>
      </c>
      <c r="J53" s="41">
        <v>124.5</v>
      </c>
      <c r="K53" s="41">
        <v>93</v>
      </c>
      <c r="L53" s="41">
        <v>80</v>
      </c>
      <c r="M53" s="41">
        <v>86.5</v>
      </c>
      <c r="N53" s="41" t="s">
        <v>59</v>
      </c>
      <c r="O53" s="41" t="s">
        <v>6</v>
      </c>
      <c r="P53" s="42" t="s">
        <v>6</v>
      </c>
      <c r="Q53" s="41" t="s">
        <v>6</v>
      </c>
      <c r="R53" s="43">
        <v>5.9</v>
      </c>
      <c r="S53" s="41">
        <v>5.05</v>
      </c>
      <c r="T53" s="41">
        <v>1.5</v>
      </c>
      <c r="U53" s="41">
        <v>27.1</v>
      </c>
      <c r="V53" s="41">
        <v>3.14</v>
      </c>
      <c r="W53" s="41">
        <v>2.13</v>
      </c>
    </row>
    <row r="54" spans="1:23" x14ac:dyDescent="0.25">
      <c r="A54" t="s">
        <v>245</v>
      </c>
      <c r="B54" s="41">
        <v>50</v>
      </c>
      <c r="C54" s="41" t="s">
        <v>63</v>
      </c>
      <c r="D54" s="41">
        <v>1.38</v>
      </c>
      <c r="E54" s="41">
        <v>38</v>
      </c>
      <c r="F54" s="41">
        <v>19</v>
      </c>
      <c r="G54" s="41">
        <v>75</v>
      </c>
      <c r="H54" s="41">
        <v>149</v>
      </c>
      <c r="I54" s="41">
        <v>178</v>
      </c>
      <c r="J54" s="41">
        <v>163.5</v>
      </c>
      <c r="K54" s="41">
        <v>99</v>
      </c>
      <c r="L54" s="41">
        <v>99</v>
      </c>
      <c r="M54" s="41">
        <v>99</v>
      </c>
      <c r="N54" s="41" t="s">
        <v>59</v>
      </c>
      <c r="O54" s="41" t="s">
        <v>6</v>
      </c>
      <c r="P54" s="42" t="s">
        <v>6</v>
      </c>
      <c r="Q54" s="41" t="s">
        <v>6</v>
      </c>
      <c r="R54" s="43">
        <v>10.5</v>
      </c>
      <c r="S54" s="41">
        <v>8.8800000000000008</v>
      </c>
      <c r="T54" s="41">
        <v>1.64</v>
      </c>
      <c r="U54" s="41">
        <v>39.6</v>
      </c>
      <c r="V54" s="41">
        <v>5.69</v>
      </c>
      <c r="W54" s="41">
        <v>4.16</v>
      </c>
    </row>
    <row r="55" spans="1:23" x14ac:dyDescent="0.25">
      <c r="A55" t="s">
        <v>246</v>
      </c>
      <c r="B55" s="41">
        <v>32</v>
      </c>
      <c r="C55" s="41" t="s">
        <v>63</v>
      </c>
      <c r="D55" s="41">
        <v>1.49</v>
      </c>
      <c r="E55" s="41">
        <v>61</v>
      </c>
      <c r="F55" s="41">
        <v>27</v>
      </c>
      <c r="G55" s="41">
        <v>81</v>
      </c>
      <c r="H55" s="41">
        <v>120</v>
      </c>
      <c r="I55" s="41">
        <v>127</v>
      </c>
      <c r="J55" s="41">
        <v>123.5</v>
      </c>
      <c r="K55" s="41">
        <v>87</v>
      </c>
      <c r="L55" s="41">
        <v>83</v>
      </c>
      <c r="M55" s="41">
        <v>85</v>
      </c>
      <c r="N55" s="41" t="s">
        <v>59</v>
      </c>
      <c r="O55" s="41" t="s">
        <v>6</v>
      </c>
      <c r="P55" s="42" t="s">
        <v>6</v>
      </c>
      <c r="Q55" s="41" t="s">
        <v>6</v>
      </c>
      <c r="R55" s="43">
        <v>5.2</v>
      </c>
      <c r="S55" s="41">
        <v>5.33</v>
      </c>
      <c r="T55" s="41">
        <v>2.21</v>
      </c>
      <c r="U55" s="41">
        <v>28.6</v>
      </c>
      <c r="V55" s="41">
        <v>2.98</v>
      </c>
      <c r="W55" s="41">
        <v>1.1100000000000001</v>
      </c>
    </row>
    <row r="56" spans="1:23" x14ac:dyDescent="0.25">
      <c r="A56" t="s">
        <v>247</v>
      </c>
      <c r="B56" s="41">
        <v>36</v>
      </c>
      <c r="C56" s="41" t="s">
        <v>62</v>
      </c>
      <c r="D56" s="41">
        <v>1.68</v>
      </c>
      <c r="E56" s="41">
        <v>71</v>
      </c>
      <c r="F56" s="41">
        <v>25</v>
      </c>
      <c r="G56" s="41">
        <v>90</v>
      </c>
      <c r="H56" s="41">
        <v>122</v>
      </c>
      <c r="I56" s="41">
        <v>112</v>
      </c>
      <c r="J56" s="41">
        <v>117</v>
      </c>
      <c r="K56" s="41">
        <v>78</v>
      </c>
      <c r="L56" s="41">
        <v>77</v>
      </c>
      <c r="M56" s="41">
        <v>77.5</v>
      </c>
      <c r="N56" s="41" t="s">
        <v>60</v>
      </c>
      <c r="O56" s="41" t="s">
        <v>42</v>
      </c>
      <c r="P56" s="42" t="s">
        <v>43</v>
      </c>
      <c r="Q56" s="41" t="s">
        <v>6</v>
      </c>
      <c r="R56" s="43">
        <v>6.1</v>
      </c>
      <c r="S56" s="41">
        <v>7.33</v>
      </c>
      <c r="T56" s="41">
        <v>1.1299999999999999</v>
      </c>
      <c r="U56" s="41">
        <v>41.9</v>
      </c>
      <c r="V56" s="41">
        <v>5.33</v>
      </c>
      <c r="W56" s="41">
        <v>3.55</v>
      </c>
    </row>
    <row r="57" spans="1:23" x14ac:dyDescent="0.25">
      <c r="A57" t="s">
        <v>248</v>
      </c>
      <c r="B57" s="41">
        <v>36</v>
      </c>
      <c r="C57" s="41" t="s">
        <v>63</v>
      </c>
      <c r="D57" s="41">
        <v>1.45</v>
      </c>
      <c r="E57" s="41">
        <v>52</v>
      </c>
      <c r="F57" s="41">
        <v>24</v>
      </c>
      <c r="G57" s="41">
        <v>92</v>
      </c>
      <c r="H57" s="41">
        <v>138</v>
      </c>
      <c r="I57" s="41">
        <v>122</v>
      </c>
      <c r="J57" s="41">
        <v>130</v>
      </c>
      <c r="K57" s="41">
        <v>76</v>
      </c>
      <c r="L57" s="41">
        <v>76</v>
      </c>
      <c r="M57" s="41">
        <v>76</v>
      </c>
      <c r="N57" s="41" t="s">
        <v>59</v>
      </c>
      <c r="O57" s="41" t="s">
        <v>6</v>
      </c>
      <c r="P57" s="42" t="s">
        <v>6</v>
      </c>
      <c r="Q57" s="41" t="s">
        <v>6</v>
      </c>
      <c r="R57" s="43">
        <v>5.9</v>
      </c>
      <c r="S57" s="41">
        <v>3.16</v>
      </c>
      <c r="T57" s="41">
        <v>1.56</v>
      </c>
      <c r="U57" s="41">
        <v>39.700000000000003</v>
      </c>
      <c r="V57" s="41">
        <v>1.44</v>
      </c>
      <c r="W57" s="41">
        <v>0.76</v>
      </c>
    </row>
    <row r="58" spans="1:23" x14ac:dyDescent="0.25">
      <c r="A58" t="s">
        <v>249</v>
      </c>
      <c r="B58" s="41">
        <v>31</v>
      </c>
      <c r="C58" s="41" t="s">
        <v>63</v>
      </c>
      <c r="D58" s="41">
        <v>1.57</v>
      </c>
      <c r="E58" s="41">
        <v>51</v>
      </c>
      <c r="F58" s="41">
        <v>20</v>
      </c>
      <c r="G58" s="41">
        <v>78</v>
      </c>
      <c r="H58" s="41">
        <v>139</v>
      </c>
      <c r="I58" s="41">
        <v>129</v>
      </c>
      <c r="J58" s="41">
        <v>134</v>
      </c>
      <c r="K58" s="41">
        <v>83</v>
      </c>
      <c r="L58" s="41">
        <v>80</v>
      </c>
      <c r="M58" s="41">
        <v>81.5</v>
      </c>
      <c r="N58" s="41" t="s">
        <v>59</v>
      </c>
      <c r="O58" s="41" t="s">
        <v>6</v>
      </c>
      <c r="P58" s="42" t="s">
        <v>6</v>
      </c>
      <c r="Q58" s="41" t="s">
        <v>6</v>
      </c>
      <c r="R58" s="43">
        <v>5.2</v>
      </c>
      <c r="S58" s="41">
        <v>3.99</v>
      </c>
      <c r="T58" s="41">
        <v>1.27</v>
      </c>
      <c r="U58" s="41">
        <v>32.9</v>
      </c>
      <c r="V58" s="41">
        <v>2.82</v>
      </c>
      <c r="W58" s="41">
        <v>0.7</v>
      </c>
    </row>
    <row r="59" spans="1:23" x14ac:dyDescent="0.25">
      <c r="A59" t="s">
        <v>250</v>
      </c>
      <c r="B59" s="41">
        <v>19</v>
      </c>
      <c r="C59" s="41" t="s">
        <v>63</v>
      </c>
      <c r="D59" s="41">
        <v>1.44</v>
      </c>
      <c r="E59" s="41">
        <v>59</v>
      </c>
      <c r="F59" s="41">
        <v>28</v>
      </c>
      <c r="G59" s="41">
        <v>90</v>
      </c>
      <c r="H59" s="41">
        <v>139</v>
      </c>
      <c r="I59" s="41">
        <v>134</v>
      </c>
      <c r="J59" s="41">
        <v>136.5</v>
      </c>
      <c r="K59" s="41">
        <v>81</v>
      </c>
      <c r="L59" s="41">
        <v>88</v>
      </c>
      <c r="M59" s="41">
        <v>84.5</v>
      </c>
      <c r="N59" s="41" t="s">
        <v>59</v>
      </c>
      <c r="O59" s="41" t="s">
        <v>6</v>
      </c>
      <c r="P59" s="42" t="s">
        <v>6</v>
      </c>
      <c r="Q59" s="41" t="s">
        <v>6</v>
      </c>
      <c r="R59" s="43">
        <v>5.6</v>
      </c>
      <c r="S59" s="41">
        <v>5.04</v>
      </c>
      <c r="T59" s="41">
        <v>1.36</v>
      </c>
      <c r="U59" s="41">
        <v>62.5</v>
      </c>
      <c r="V59" s="41">
        <v>3.57</v>
      </c>
      <c r="W59" s="41">
        <v>1.17</v>
      </c>
    </row>
    <row r="60" spans="1:23" x14ac:dyDescent="0.25">
      <c r="A60" t="s">
        <v>251</v>
      </c>
      <c r="B60" s="41">
        <v>23</v>
      </c>
      <c r="C60" s="41" t="s">
        <v>62</v>
      </c>
      <c r="D60" s="41">
        <v>1.67</v>
      </c>
      <c r="E60" s="41">
        <v>78</v>
      </c>
      <c r="F60" s="41">
        <v>27</v>
      </c>
      <c r="G60" s="41">
        <v>93</v>
      </c>
      <c r="H60" s="41">
        <v>135</v>
      </c>
      <c r="I60" s="41">
        <v>135</v>
      </c>
      <c r="J60" s="41">
        <v>135</v>
      </c>
      <c r="K60" s="41">
        <v>90</v>
      </c>
      <c r="L60" s="41">
        <v>94</v>
      </c>
      <c r="M60" s="41">
        <v>92</v>
      </c>
      <c r="N60" s="41" t="s">
        <v>60</v>
      </c>
      <c r="O60" s="41" t="s">
        <v>33</v>
      </c>
      <c r="P60" s="42" t="s">
        <v>44</v>
      </c>
      <c r="Q60" s="41" t="s">
        <v>6</v>
      </c>
      <c r="R60" s="43">
        <v>5.6</v>
      </c>
      <c r="S60" s="41">
        <v>4.57</v>
      </c>
      <c r="T60" s="41">
        <v>1.27</v>
      </c>
      <c r="U60" s="41">
        <v>29.7</v>
      </c>
      <c r="V60" s="41">
        <v>2.46</v>
      </c>
      <c r="W60" s="41">
        <v>2.62</v>
      </c>
    </row>
    <row r="61" spans="1:23" x14ac:dyDescent="0.25">
      <c r="A61" t="s">
        <v>252</v>
      </c>
      <c r="B61" s="41">
        <v>31</v>
      </c>
      <c r="C61" s="41" t="s">
        <v>63</v>
      </c>
      <c r="D61" s="41">
        <v>1.47</v>
      </c>
      <c r="E61" s="41">
        <v>60</v>
      </c>
      <c r="F61" s="41">
        <v>27</v>
      </c>
      <c r="G61" s="41">
        <v>85</v>
      </c>
      <c r="H61" s="41">
        <v>129</v>
      </c>
      <c r="I61" s="41">
        <v>120</v>
      </c>
      <c r="J61" s="41">
        <v>124.5</v>
      </c>
      <c r="K61" s="41">
        <v>75</v>
      </c>
      <c r="L61" s="41">
        <v>74</v>
      </c>
      <c r="M61" s="41">
        <v>74.5</v>
      </c>
      <c r="N61" s="41" t="s">
        <v>59</v>
      </c>
      <c r="O61" s="41" t="s">
        <v>6</v>
      </c>
      <c r="P61" s="42" t="s">
        <v>6</v>
      </c>
      <c r="Q61" s="41" t="s">
        <v>6</v>
      </c>
      <c r="R61" s="43">
        <v>6.2</v>
      </c>
      <c r="S61" s="41">
        <v>5.15</v>
      </c>
      <c r="T61" s="41">
        <v>1.97</v>
      </c>
      <c r="U61" s="41">
        <v>31.3</v>
      </c>
      <c r="V61" s="41">
        <v>3.25</v>
      </c>
      <c r="W61" s="41">
        <v>1.08</v>
      </c>
    </row>
    <row r="62" spans="1:23" x14ac:dyDescent="0.25">
      <c r="A62" t="s">
        <v>253</v>
      </c>
      <c r="B62" s="41">
        <v>18</v>
      </c>
      <c r="C62" s="41" t="s">
        <v>62</v>
      </c>
      <c r="D62" s="41">
        <v>1.59</v>
      </c>
      <c r="E62" s="41">
        <v>52</v>
      </c>
      <c r="F62" s="41">
        <v>20</v>
      </c>
      <c r="G62" s="41">
        <v>74</v>
      </c>
      <c r="H62" s="41">
        <v>124</v>
      </c>
      <c r="I62" s="41">
        <v>120</v>
      </c>
      <c r="J62" s="41">
        <v>122</v>
      </c>
      <c r="K62" s="41">
        <v>71</v>
      </c>
      <c r="L62" s="41">
        <v>80</v>
      </c>
      <c r="M62" s="41">
        <v>75.5</v>
      </c>
      <c r="N62" s="41" t="s">
        <v>61</v>
      </c>
      <c r="O62" s="41" t="s">
        <v>23</v>
      </c>
      <c r="P62" s="42" t="s">
        <v>44</v>
      </c>
      <c r="Q62" s="41" t="s">
        <v>45</v>
      </c>
      <c r="R62" s="43">
        <v>5.5</v>
      </c>
      <c r="S62" s="41">
        <v>4.1900000000000004</v>
      </c>
      <c r="T62" s="41">
        <v>1.54</v>
      </c>
      <c r="U62" s="41">
        <v>23.9</v>
      </c>
      <c r="V62" s="41">
        <v>2.61</v>
      </c>
      <c r="W62" s="41">
        <v>0.74</v>
      </c>
    </row>
    <row r="63" spans="1:23" x14ac:dyDescent="0.25">
      <c r="A63" t="s">
        <v>254</v>
      </c>
      <c r="B63" s="41">
        <v>44</v>
      </c>
      <c r="C63" s="41" t="s">
        <v>63</v>
      </c>
      <c r="D63" s="41">
        <v>1.42</v>
      </c>
      <c r="E63" s="41">
        <v>66</v>
      </c>
      <c r="F63" s="41">
        <v>32</v>
      </c>
      <c r="G63" s="41">
        <v>99</v>
      </c>
      <c r="H63" s="41">
        <v>130</v>
      </c>
      <c r="I63" s="41">
        <v>113</v>
      </c>
      <c r="J63" s="41">
        <v>121.5</v>
      </c>
      <c r="K63" s="41">
        <v>77</v>
      </c>
      <c r="L63" s="41">
        <v>90</v>
      </c>
      <c r="M63" s="41">
        <v>83.5</v>
      </c>
      <c r="N63" s="41" t="s">
        <v>60</v>
      </c>
      <c r="O63" s="41" t="s">
        <v>46</v>
      </c>
      <c r="P63" s="42" t="s">
        <v>34</v>
      </c>
      <c r="Q63" s="41" t="s">
        <v>6</v>
      </c>
      <c r="R63" s="43">
        <v>5.3</v>
      </c>
      <c r="S63" s="41">
        <v>4.7300000000000004</v>
      </c>
      <c r="T63" s="41">
        <v>1.37</v>
      </c>
      <c r="U63" s="41">
        <v>40.200000000000003</v>
      </c>
      <c r="V63" s="44">
        <v>3.2</v>
      </c>
      <c r="W63" s="41">
        <v>1.32</v>
      </c>
    </row>
    <row r="64" spans="1:23" x14ac:dyDescent="0.25">
      <c r="A64" t="s">
        <v>255</v>
      </c>
      <c r="B64" s="41">
        <v>32</v>
      </c>
      <c r="C64" s="41" t="s">
        <v>63</v>
      </c>
      <c r="D64" s="41">
        <v>1.47</v>
      </c>
      <c r="E64" s="41">
        <v>55</v>
      </c>
      <c r="F64" s="41">
        <v>25</v>
      </c>
      <c r="G64" s="41">
        <v>91</v>
      </c>
      <c r="H64" s="41">
        <v>139</v>
      </c>
      <c r="I64" s="41">
        <v>129</v>
      </c>
      <c r="J64" s="41">
        <v>134</v>
      </c>
      <c r="K64" s="41">
        <v>105</v>
      </c>
      <c r="L64" s="41">
        <v>97</v>
      </c>
      <c r="M64" s="41">
        <v>101</v>
      </c>
      <c r="N64" s="41" t="s">
        <v>59</v>
      </c>
      <c r="O64" s="41" t="s">
        <v>6</v>
      </c>
      <c r="P64" s="42" t="s">
        <v>6</v>
      </c>
      <c r="Q64" s="41" t="s">
        <v>6</v>
      </c>
      <c r="R64" s="43">
        <v>6</v>
      </c>
      <c r="S64" s="41">
        <v>5.4</v>
      </c>
      <c r="T64" s="41">
        <v>1.54</v>
      </c>
      <c r="U64" s="41">
        <v>30.5</v>
      </c>
      <c r="V64" s="41">
        <v>3.57</v>
      </c>
      <c r="W64" s="41">
        <v>1.34</v>
      </c>
    </row>
    <row r="65" spans="1:23" x14ac:dyDescent="0.25">
      <c r="A65" t="s">
        <v>256</v>
      </c>
      <c r="B65" s="41">
        <v>23</v>
      </c>
      <c r="C65" s="41" t="s">
        <v>63</v>
      </c>
      <c r="D65" s="41">
        <v>1.49</v>
      </c>
      <c r="E65" s="41">
        <v>62</v>
      </c>
      <c r="F65" s="41">
        <v>27</v>
      </c>
      <c r="G65" s="41">
        <v>84</v>
      </c>
      <c r="H65" s="41">
        <v>117</v>
      </c>
      <c r="I65" s="41">
        <v>109</v>
      </c>
      <c r="J65" s="41">
        <v>113</v>
      </c>
      <c r="K65" s="41">
        <v>77</v>
      </c>
      <c r="L65" s="41">
        <v>70</v>
      </c>
      <c r="M65" s="41">
        <v>73.5</v>
      </c>
      <c r="N65" s="41" t="s">
        <v>59</v>
      </c>
      <c r="O65" s="41" t="s">
        <v>6</v>
      </c>
      <c r="P65" s="42" t="s">
        <v>6</v>
      </c>
      <c r="Q65" s="41" t="s">
        <v>6</v>
      </c>
      <c r="R65" s="43">
        <v>5.6</v>
      </c>
      <c r="S65" s="41">
        <v>5.58</v>
      </c>
      <c r="T65" s="41">
        <v>2.1800000000000002</v>
      </c>
      <c r="U65" s="41">
        <v>24.8</v>
      </c>
      <c r="V65" s="41">
        <v>3.43</v>
      </c>
      <c r="W65" s="41">
        <v>1.1399999999999999</v>
      </c>
    </row>
    <row r="66" spans="1:23" x14ac:dyDescent="0.25">
      <c r="A66" t="s">
        <v>257</v>
      </c>
      <c r="B66" s="41">
        <v>41</v>
      </c>
      <c r="C66" s="41" t="s">
        <v>62</v>
      </c>
      <c r="D66" s="41">
        <v>1.53</v>
      </c>
      <c r="E66" s="41">
        <v>42</v>
      </c>
      <c r="F66" s="41">
        <v>17</v>
      </c>
      <c r="G66" s="41">
        <v>64</v>
      </c>
      <c r="H66" s="41">
        <v>112</v>
      </c>
      <c r="I66" s="41">
        <v>105</v>
      </c>
      <c r="J66" s="41">
        <v>108.5</v>
      </c>
      <c r="K66" s="41">
        <v>69</v>
      </c>
      <c r="L66" s="41">
        <v>71</v>
      </c>
      <c r="M66" s="41">
        <v>70</v>
      </c>
      <c r="N66" s="41" t="s">
        <v>60</v>
      </c>
      <c r="O66" s="41" t="s">
        <v>19</v>
      </c>
      <c r="P66" s="42" t="s">
        <v>30</v>
      </c>
      <c r="Q66" s="41" t="s">
        <v>6</v>
      </c>
      <c r="R66" s="43">
        <v>5.9</v>
      </c>
      <c r="S66" s="41">
        <v>4.83</v>
      </c>
      <c r="T66" s="41">
        <v>1.26</v>
      </c>
      <c r="U66" s="41">
        <v>35.200000000000003</v>
      </c>
      <c r="V66" s="44">
        <v>3.3</v>
      </c>
      <c r="W66" s="44">
        <v>1.6</v>
      </c>
    </row>
    <row r="67" spans="1:23" x14ac:dyDescent="0.25">
      <c r="A67" t="s">
        <v>258</v>
      </c>
      <c r="B67" s="41">
        <v>41</v>
      </c>
      <c r="C67" s="41" t="s">
        <v>62</v>
      </c>
      <c r="D67" s="41">
        <v>1.57</v>
      </c>
      <c r="E67" s="41">
        <v>67</v>
      </c>
      <c r="F67" s="41">
        <v>27</v>
      </c>
      <c r="G67" s="41">
        <v>92</v>
      </c>
      <c r="H67" s="41">
        <v>162</v>
      </c>
      <c r="I67" s="41">
        <v>148</v>
      </c>
      <c r="J67" s="41">
        <v>155</v>
      </c>
      <c r="K67" s="41">
        <v>95</v>
      </c>
      <c r="L67" s="41">
        <v>93</v>
      </c>
      <c r="M67" s="41">
        <v>94</v>
      </c>
      <c r="N67" s="41" t="s">
        <v>59</v>
      </c>
      <c r="O67" s="41" t="s">
        <v>6</v>
      </c>
      <c r="P67" s="42" t="s">
        <v>6</v>
      </c>
      <c r="Q67" s="41" t="s">
        <v>6</v>
      </c>
      <c r="R67" s="43">
        <v>5.9</v>
      </c>
      <c r="S67" s="41">
        <v>7.15</v>
      </c>
      <c r="T67" s="41">
        <v>1.38</v>
      </c>
      <c r="U67" s="41">
        <v>47.7</v>
      </c>
      <c r="V67" s="41">
        <v>5.07</v>
      </c>
      <c r="W67" s="41">
        <v>2.4700000000000002</v>
      </c>
    </row>
    <row r="68" spans="1:23" x14ac:dyDescent="0.25">
      <c r="A68" t="s">
        <v>259</v>
      </c>
      <c r="B68" s="41">
        <v>27</v>
      </c>
      <c r="C68" s="41" t="s">
        <v>63</v>
      </c>
      <c r="D68" s="41">
        <v>1.59</v>
      </c>
      <c r="E68" s="41">
        <v>61</v>
      </c>
      <c r="F68" s="41">
        <v>24</v>
      </c>
      <c r="G68" s="41">
        <v>87</v>
      </c>
      <c r="H68" s="41">
        <v>125</v>
      </c>
      <c r="I68" s="41">
        <v>124</v>
      </c>
      <c r="J68" s="41">
        <v>124.5</v>
      </c>
      <c r="K68" s="41">
        <v>94</v>
      </c>
      <c r="L68" s="41">
        <v>82</v>
      </c>
      <c r="M68" s="41">
        <v>88</v>
      </c>
      <c r="N68" s="41" t="s">
        <v>59</v>
      </c>
      <c r="O68" s="41" t="s">
        <v>6</v>
      </c>
      <c r="P68" s="42" t="s">
        <v>6</v>
      </c>
      <c r="Q68" s="41" t="s">
        <v>6</v>
      </c>
      <c r="R68" s="43">
        <v>5.9</v>
      </c>
      <c r="S68" s="41">
        <v>4.6100000000000003</v>
      </c>
      <c r="T68" s="41">
        <v>1.28</v>
      </c>
      <c r="U68" s="41">
        <v>22</v>
      </c>
      <c r="V68" s="41">
        <v>3.18</v>
      </c>
      <c r="W68" s="41" t="s">
        <v>53</v>
      </c>
    </row>
    <row r="69" spans="1:23" x14ac:dyDescent="0.25">
      <c r="A69" t="s">
        <v>260</v>
      </c>
      <c r="B69" s="41">
        <v>40</v>
      </c>
      <c r="C69" s="41" t="s">
        <v>62</v>
      </c>
      <c r="D69" s="41">
        <v>1.66</v>
      </c>
      <c r="E69" s="41">
        <v>76</v>
      </c>
      <c r="F69" s="41">
        <v>27</v>
      </c>
      <c r="G69" s="41">
        <v>99</v>
      </c>
      <c r="H69" s="41">
        <v>148</v>
      </c>
      <c r="I69" s="41">
        <v>143</v>
      </c>
      <c r="J69" s="41">
        <v>145.5</v>
      </c>
      <c r="K69" s="41">
        <v>97</v>
      </c>
      <c r="L69" s="41">
        <v>95</v>
      </c>
      <c r="M69" s="41">
        <v>96</v>
      </c>
      <c r="N69" s="41" t="s">
        <v>59</v>
      </c>
      <c r="O69" s="41" t="s">
        <v>6</v>
      </c>
      <c r="P69" s="42" t="s">
        <v>6</v>
      </c>
      <c r="Q69" s="41" t="s">
        <v>6</v>
      </c>
      <c r="R69" s="43">
        <v>5.8</v>
      </c>
      <c r="S69" s="41">
        <v>7.38</v>
      </c>
      <c r="T69" s="41">
        <v>1.8</v>
      </c>
      <c r="U69" s="41">
        <v>23.5</v>
      </c>
      <c r="V69" s="41">
        <v>5.37</v>
      </c>
      <c r="W69" s="41" t="s">
        <v>53</v>
      </c>
    </row>
    <row r="70" spans="1:23" x14ac:dyDescent="0.25">
      <c r="A70" t="s">
        <v>261</v>
      </c>
      <c r="B70" s="41">
        <v>30</v>
      </c>
      <c r="C70" s="41" t="s">
        <v>62</v>
      </c>
      <c r="D70" s="41">
        <v>1.7</v>
      </c>
      <c r="E70" s="41">
        <v>85</v>
      </c>
      <c r="F70" s="41">
        <v>29</v>
      </c>
      <c r="G70" s="41">
        <v>99</v>
      </c>
      <c r="H70" s="41">
        <v>147</v>
      </c>
      <c r="I70" s="41">
        <v>133</v>
      </c>
      <c r="J70" s="41">
        <v>140</v>
      </c>
      <c r="K70" s="41">
        <v>84</v>
      </c>
      <c r="L70" s="41">
        <v>76</v>
      </c>
      <c r="M70" s="41">
        <v>80</v>
      </c>
      <c r="N70" s="41" t="s">
        <v>60</v>
      </c>
      <c r="O70" s="41" t="s">
        <v>42</v>
      </c>
      <c r="P70" s="42" t="s">
        <v>39</v>
      </c>
      <c r="Q70" s="41" t="s">
        <v>6</v>
      </c>
      <c r="R70" s="43">
        <v>6</v>
      </c>
      <c r="S70" s="41">
        <v>6.28</v>
      </c>
      <c r="T70" s="41">
        <v>1.1399999999999999</v>
      </c>
      <c r="U70" s="41">
        <v>25</v>
      </c>
      <c r="V70" s="41">
        <v>4.0999999999999996</v>
      </c>
      <c r="W70" s="41" t="s">
        <v>53</v>
      </c>
    </row>
    <row r="71" spans="1:23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 t="s">
        <v>54</v>
      </c>
      <c r="V71" s="41"/>
      <c r="W71" s="41"/>
    </row>
    <row r="72" spans="1:23" x14ac:dyDescent="0.25">
      <c r="P72" s="3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N24" sqref="N24"/>
    </sheetView>
  </sheetViews>
  <sheetFormatPr defaultRowHeight="15" x14ac:dyDescent="0.25"/>
  <cols>
    <col min="1" max="1" width="12.7109375" customWidth="1"/>
    <col min="2" max="2" width="14.28515625" customWidth="1"/>
    <col min="3" max="3" width="8.42578125" style="47" bestFit="1" customWidth="1"/>
    <col min="4" max="4" width="11.28515625" bestFit="1" customWidth="1"/>
    <col min="10" max="10" width="9.42578125" style="47" customWidth="1"/>
    <col min="11" max="11" width="8.7109375" customWidth="1"/>
  </cols>
  <sheetData>
    <row r="1" spans="1:16" x14ac:dyDescent="0.25">
      <c r="A1" s="33" t="s">
        <v>49</v>
      </c>
      <c r="B1" s="33" t="s">
        <v>52</v>
      </c>
      <c r="C1" s="47" t="s">
        <v>65</v>
      </c>
      <c r="D1" t="s">
        <v>66</v>
      </c>
      <c r="E1" s="49" t="s">
        <v>65</v>
      </c>
      <c r="F1" s="49" t="s">
        <v>67</v>
      </c>
      <c r="G1" s="49" t="s">
        <v>68</v>
      </c>
      <c r="H1" s="49" t="s">
        <v>69</v>
      </c>
      <c r="J1" s="47" t="s">
        <v>65</v>
      </c>
      <c r="K1" t="s">
        <v>66</v>
      </c>
      <c r="M1" s="49" t="s">
        <v>70</v>
      </c>
      <c r="N1" s="49"/>
      <c r="O1" s="49"/>
      <c r="P1" s="49"/>
    </row>
    <row r="2" spans="1:16" x14ac:dyDescent="0.25">
      <c r="A2">
        <v>2.57</v>
      </c>
      <c r="B2">
        <v>1.29</v>
      </c>
      <c r="C2" s="47">
        <f>B2/A2</f>
        <v>0.50194552529182879</v>
      </c>
      <c r="D2" t="s">
        <v>62</v>
      </c>
      <c r="E2" s="49" t="s">
        <v>71</v>
      </c>
      <c r="F2" s="49">
        <v>0.87</v>
      </c>
      <c r="G2" s="49">
        <v>44</v>
      </c>
      <c r="H2" s="50">
        <f>G2/65*100</f>
        <v>67.692307692307693</v>
      </c>
      <c r="J2" s="47">
        <v>0.50194552529182879</v>
      </c>
      <c r="K2" t="s">
        <v>62</v>
      </c>
      <c r="M2" s="49"/>
      <c r="N2" s="49" t="s">
        <v>67</v>
      </c>
      <c r="O2" s="49" t="s">
        <v>68</v>
      </c>
      <c r="P2" s="49" t="s">
        <v>69</v>
      </c>
    </row>
    <row r="3" spans="1:16" x14ac:dyDescent="0.25">
      <c r="A3">
        <v>2.58</v>
      </c>
      <c r="B3">
        <v>1.66</v>
      </c>
      <c r="C3" s="47">
        <f t="shared" ref="C3:C66" si="0">B3/A3</f>
        <v>0.64341085271317822</v>
      </c>
      <c r="D3" t="s">
        <v>62</v>
      </c>
      <c r="E3" s="49" t="s">
        <v>72</v>
      </c>
      <c r="F3" s="49">
        <v>1.74</v>
      </c>
      <c r="G3" s="49">
        <v>14</v>
      </c>
      <c r="H3" s="50">
        <f t="shared" ref="H3:H4" si="1">G3/65*100</f>
        <v>21.53846153846154</v>
      </c>
      <c r="J3" s="47">
        <v>0.64341085271317822</v>
      </c>
      <c r="K3" t="s">
        <v>62</v>
      </c>
      <c r="M3" s="49" t="s">
        <v>73</v>
      </c>
      <c r="N3" s="49" t="s">
        <v>74</v>
      </c>
      <c r="O3" s="49">
        <f>COUNTIFS($J$2:$J$69,"&gt;=0.9",$J$2:$J$69,"&lt;=1.7")</f>
        <v>14</v>
      </c>
      <c r="P3" s="49">
        <f>O3/65*100</f>
        <v>21.53846153846154</v>
      </c>
    </row>
    <row r="4" spans="1:16" x14ac:dyDescent="0.25">
      <c r="A4">
        <v>1.85</v>
      </c>
      <c r="B4">
        <v>2.66</v>
      </c>
      <c r="C4" s="47">
        <f t="shared" si="0"/>
        <v>1.4378378378378378</v>
      </c>
      <c r="D4" t="s">
        <v>63</v>
      </c>
      <c r="E4" s="49" t="s">
        <v>75</v>
      </c>
      <c r="F4" s="49">
        <v>2.62</v>
      </c>
      <c r="G4" s="49">
        <v>7</v>
      </c>
      <c r="H4" s="50">
        <f t="shared" si="1"/>
        <v>10.76923076923077</v>
      </c>
      <c r="J4" s="47">
        <v>0.74226804123711343</v>
      </c>
      <c r="K4" t="s">
        <v>62</v>
      </c>
      <c r="M4" s="49" t="s">
        <v>76</v>
      </c>
      <c r="N4" s="49"/>
      <c r="O4" s="49">
        <f>COUNTIFS($J$2:$J$33,"&gt;=0.9",$J$2:$J$33,"&lt;=1.7")</f>
        <v>10</v>
      </c>
      <c r="P4" s="49">
        <f>O4/65*100</f>
        <v>15.384615384615385</v>
      </c>
    </row>
    <row r="5" spans="1:16" x14ac:dyDescent="0.25">
      <c r="A5">
        <v>1.94</v>
      </c>
      <c r="B5">
        <v>1.44</v>
      </c>
      <c r="C5" s="47">
        <f t="shared" si="0"/>
        <v>0.74226804123711343</v>
      </c>
      <c r="D5" t="s">
        <v>62</v>
      </c>
      <c r="E5" s="49"/>
      <c r="F5" s="49"/>
      <c r="G5" s="49">
        <f>SUM(G2:G4)</f>
        <v>65</v>
      </c>
      <c r="H5" s="49"/>
      <c r="J5" s="47">
        <v>2.343511450381679</v>
      </c>
      <c r="K5" t="s">
        <v>62</v>
      </c>
      <c r="M5" s="49" t="s">
        <v>77</v>
      </c>
      <c r="N5" s="49"/>
      <c r="O5" s="49">
        <f>COUNTIFS($J$34:$J$69,"&gt;=0.9",$J$34:$J$69,"&lt;=1.7")</f>
        <v>4</v>
      </c>
      <c r="P5" s="49">
        <f>O5/65*100</f>
        <v>6.1538461538461542</v>
      </c>
    </row>
    <row r="6" spans="1:16" x14ac:dyDescent="0.25">
      <c r="A6">
        <v>2.5</v>
      </c>
      <c r="B6">
        <v>1.51</v>
      </c>
      <c r="C6" s="47">
        <f t="shared" si="0"/>
        <v>0.60399999999999998</v>
      </c>
      <c r="D6" t="s">
        <v>63</v>
      </c>
      <c r="J6" s="47">
        <v>0.81395348837209303</v>
      </c>
      <c r="K6" t="s">
        <v>62</v>
      </c>
      <c r="N6" s="49"/>
      <c r="O6" s="49"/>
      <c r="P6" s="49" t="s">
        <v>69</v>
      </c>
    </row>
    <row r="7" spans="1:16" x14ac:dyDescent="0.25">
      <c r="A7">
        <v>2.46</v>
      </c>
      <c r="B7">
        <v>1.27</v>
      </c>
      <c r="C7" s="47">
        <f t="shared" si="0"/>
        <v>0.51626016260162599</v>
      </c>
      <c r="D7" t="s">
        <v>63</v>
      </c>
      <c r="J7" s="47" t="e">
        <v>#VALUE!</v>
      </c>
      <c r="K7" t="s">
        <v>62</v>
      </c>
      <c r="N7" s="49" t="s">
        <v>78</v>
      </c>
      <c r="O7" s="49">
        <f>14/65*100</f>
        <v>21.53846153846154</v>
      </c>
      <c r="P7" s="49">
        <v>22</v>
      </c>
    </row>
    <row r="8" spans="1:16" x14ac:dyDescent="0.25">
      <c r="A8">
        <v>2.12</v>
      </c>
      <c r="B8">
        <v>1.04</v>
      </c>
      <c r="C8" s="47">
        <f t="shared" si="0"/>
        <v>0.49056603773584906</v>
      </c>
      <c r="D8" t="s">
        <v>63</v>
      </c>
      <c r="J8" s="47">
        <v>1.1721311475409837</v>
      </c>
      <c r="K8" t="s">
        <v>62</v>
      </c>
      <c r="N8" s="49" t="s">
        <v>79</v>
      </c>
      <c r="O8" s="49">
        <f>100-O7</f>
        <v>78.461538461538453</v>
      </c>
      <c r="P8" s="49">
        <v>78</v>
      </c>
    </row>
    <row r="9" spans="1:16" x14ac:dyDescent="0.25">
      <c r="A9">
        <v>1.68</v>
      </c>
      <c r="B9">
        <v>1.67</v>
      </c>
      <c r="C9" s="47">
        <f t="shared" si="0"/>
        <v>0.99404761904761907</v>
      </c>
      <c r="D9" t="s">
        <v>63</v>
      </c>
      <c r="J9" s="47">
        <v>1.5297297297297296</v>
      </c>
      <c r="K9" t="s">
        <v>62</v>
      </c>
    </row>
    <row r="10" spans="1:16" x14ac:dyDescent="0.25">
      <c r="A10">
        <v>1.83</v>
      </c>
      <c r="B10">
        <v>0.68</v>
      </c>
      <c r="C10" s="47">
        <f t="shared" si="0"/>
        <v>0.37158469945355194</v>
      </c>
      <c r="D10" t="s">
        <v>63</v>
      </c>
      <c r="J10" s="47">
        <v>1.0579710144927537</v>
      </c>
      <c r="K10" t="s">
        <v>62</v>
      </c>
    </row>
    <row r="11" spans="1:16" x14ac:dyDescent="0.25">
      <c r="A11">
        <v>1.31</v>
      </c>
      <c r="B11">
        <v>3.07</v>
      </c>
      <c r="C11" s="47">
        <f t="shared" si="0"/>
        <v>2.343511450381679</v>
      </c>
      <c r="D11" t="s">
        <v>62</v>
      </c>
      <c r="J11" s="47">
        <v>0.31775700934579437</v>
      </c>
      <c r="K11" t="s">
        <v>62</v>
      </c>
    </row>
    <row r="12" spans="1:16" x14ac:dyDescent="0.25">
      <c r="A12">
        <v>1.93</v>
      </c>
      <c r="B12">
        <v>0.68</v>
      </c>
      <c r="C12" s="47">
        <f t="shared" si="0"/>
        <v>0.35233160621761661</v>
      </c>
      <c r="D12" t="s">
        <v>63</v>
      </c>
      <c r="J12" s="47">
        <v>0.77777777777777779</v>
      </c>
      <c r="K12" t="s">
        <v>62</v>
      </c>
    </row>
    <row r="13" spans="1:16" x14ac:dyDescent="0.25">
      <c r="A13">
        <v>2.57</v>
      </c>
      <c r="B13">
        <v>1.99</v>
      </c>
      <c r="C13" s="47">
        <f t="shared" si="0"/>
        <v>0.77431906614785995</v>
      </c>
      <c r="D13" t="s">
        <v>63</v>
      </c>
      <c r="J13" s="47">
        <v>0.71014492753623193</v>
      </c>
      <c r="K13" t="s">
        <v>62</v>
      </c>
    </row>
    <row r="14" spans="1:16" x14ac:dyDescent="0.25">
      <c r="A14">
        <v>2.15</v>
      </c>
      <c r="B14">
        <v>1.75</v>
      </c>
      <c r="C14" s="47">
        <f t="shared" si="0"/>
        <v>0.81395348837209303</v>
      </c>
      <c r="D14" t="s">
        <v>62</v>
      </c>
      <c r="J14" s="47">
        <v>2.7328767123287672</v>
      </c>
      <c r="K14" t="s">
        <v>62</v>
      </c>
    </row>
    <row r="15" spans="1:16" x14ac:dyDescent="0.25">
      <c r="A15">
        <v>1.51</v>
      </c>
      <c r="B15" t="s">
        <v>6</v>
      </c>
      <c r="C15" s="47" t="e">
        <f t="shared" si="0"/>
        <v>#VALUE!</v>
      </c>
      <c r="D15" t="s">
        <v>62</v>
      </c>
      <c r="J15" s="47">
        <v>1.027027027027027</v>
      </c>
      <c r="K15" t="s">
        <v>62</v>
      </c>
    </row>
    <row r="16" spans="1:16" x14ac:dyDescent="0.25">
      <c r="A16">
        <v>1.96</v>
      </c>
      <c r="B16">
        <v>0.56000000000000005</v>
      </c>
      <c r="C16" s="47">
        <f t="shared" si="0"/>
        <v>0.28571428571428575</v>
      </c>
      <c r="D16" t="s">
        <v>63</v>
      </c>
      <c r="J16" s="47">
        <v>0.75739644970414211</v>
      </c>
      <c r="K16" t="s">
        <v>62</v>
      </c>
    </row>
    <row r="17" spans="1:11" x14ac:dyDescent="0.25">
      <c r="A17">
        <v>2.44</v>
      </c>
      <c r="B17">
        <v>2.86</v>
      </c>
      <c r="C17" s="47">
        <f t="shared" si="0"/>
        <v>1.1721311475409837</v>
      </c>
      <c r="D17" t="s">
        <v>62</v>
      </c>
      <c r="J17" s="47">
        <v>0.96753246753246747</v>
      </c>
      <c r="K17" t="s">
        <v>62</v>
      </c>
    </row>
    <row r="18" spans="1:11" x14ac:dyDescent="0.25">
      <c r="A18">
        <v>2.39</v>
      </c>
      <c r="B18">
        <v>1.0900000000000001</v>
      </c>
      <c r="C18" s="47">
        <f t="shared" si="0"/>
        <v>0.45606694560669458</v>
      </c>
      <c r="D18" t="s">
        <v>63</v>
      </c>
      <c r="J18" s="47">
        <v>1.2651515151515151</v>
      </c>
      <c r="K18" t="s">
        <v>62</v>
      </c>
    </row>
    <row r="19" spans="1:11" x14ac:dyDescent="0.25">
      <c r="A19">
        <v>2.06</v>
      </c>
      <c r="B19">
        <v>1.78</v>
      </c>
      <c r="C19" s="47">
        <f t="shared" si="0"/>
        <v>0.86407766990291257</v>
      </c>
      <c r="D19" t="s">
        <v>63</v>
      </c>
      <c r="J19" s="47">
        <v>0.8493975903614458</v>
      </c>
      <c r="K19" t="s">
        <v>62</v>
      </c>
    </row>
    <row r="20" spans="1:11" x14ac:dyDescent="0.25">
      <c r="A20">
        <v>1.86</v>
      </c>
      <c r="B20">
        <v>3.44</v>
      </c>
      <c r="C20" s="47">
        <f t="shared" si="0"/>
        <v>1.8494623655913978</v>
      </c>
      <c r="D20" t="s">
        <v>63</v>
      </c>
      <c r="J20" s="47">
        <v>1.304093567251462</v>
      </c>
      <c r="K20" t="s">
        <v>62</v>
      </c>
    </row>
    <row r="21" spans="1:11" x14ac:dyDescent="0.25">
      <c r="A21">
        <v>1.85</v>
      </c>
      <c r="B21">
        <v>2.83</v>
      </c>
      <c r="C21" s="47">
        <f t="shared" si="0"/>
        <v>1.5297297297297296</v>
      </c>
      <c r="D21" t="s">
        <v>62</v>
      </c>
      <c r="J21" s="47">
        <v>0.49358974358974356</v>
      </c>
      <c r="K21" t="s">
        <v>62</v>
      </c>
    </row>
    <row r="22" spans="1:11" x14ac:dyDescent="0.25">
      <c r="A22">
        <v>2.76</v>
      </c>
      <c r="B22">
        <v>2.92</v>
      </c>
      <c r="C22" s="47">
        <f t="shared" si="0"/>
        <v>1.0579710144927537</v>
      </c>
      <c r="D22" t="s">
        <v>62</v>
      </c>
      <c r="J22" s="47">
        <v>0.62251655629139069</v>
      </c>
      <c r="K22" t="s">
        <v>62</v>
      </c>
    </row>
    <row r="23" spans="1:11" x14ac:dyDescent="0.25">
      <c r="A23">
        <v>2.14</v>
      </c>
      <c r="B23">
        <v>0.68</v>
      </c>
      <c r="C23" s="47">
        <f t="shared" si="0"/>
        <v>0.31775700934579437</v>
      </c>
      <c r="D23" t="s">
        <v>62</v>
      </c>
      <c r="J23" s="47">
        <v>1.5151515151515151</v>
      </c>
      <c r="K23" t="s">
        <v>62</v>
      </c>
    </row>
    <row r="24" spans="1:11" x14ac:dyDescent="0.25">
      <c r="A24">
        <v>2.25</v>
      </c>
      <c r="B24">
        <v>1.75</v>
      </c>
      <c r="C24" s="47">
        <f t="shared" si="0"/>
        <v>0.77777777777777779</v>
      </c>
      <c r="D24" t="s">
        <v>62</v>
      </c>
      <c r="J24" s="47">
        <v>0.43915343915343913</v>
      </c>
      <c r="K24" t="s">
        <v>62</v>
      </c>
    </row>
    <row r="25" spans="1:11" x14ac:dyDescent="0.25">
      <c r="A25">
        <v>2.41</v>
      </c>
      <c r="B25">
        <v>1.28</v>
      </c>
      <c r="C25" s="47">
        <f t="shared" si="0"/>
        <v>0.53112033195020747</v>
      </c>
      <c r="D25" t="s">
        <v>63</v>
      </c>
      <c r="J25" s="47">
        <v>1.3413173652694612</v>
      </c>
      <c r="K25" t="s">
        <v>62</v>
      </c>
    </row>
    <row r="26" spans="1:11" x14ac:dyDescent="0.25">
      <c r="A26">
        <v>2.76</v>
      </c>
      <c r="B26">
        <v>1.96</v>
      </c>
      <c r="C26" s="47">
        <f t="shared" si="0"/>
        <v>0.71014492753623193</v>
      </c>
      <c r="D26" t="s">
        <v>62</v>
      </c>
      <c r="J26" s="47">
        <v>0.78151260504201692</v>
      </c>
      <c r="K26" t="s">
        <v>62</v>
      </c>
    </row>
    <row r="27" spans="1:11" x14ac:dyDescent="0.25">
      <c r="A27">
        <v>1.46</v>
      </c>
      <c r="B27">
        <v>3.99</v>
      </c>
      <c r="C27" s="47">
        <f t="shared" si="0"/>
        <v>2.7328767123287672</v>
      </c>
      <c r="D27" t="s">
        <v>62</v>
      </c>
      <c r="J27" s="47">
        <v>3.1696428571428568</v>
      </c>
      <c r="K27" t="s">
        <v>62</v>
      </c>
    </row>
    <row r="28" spans="1:11" x14ac:dyDescent="0.25">
      <c r="A28">
        <v>2.13</v>
      </c>
      <c r="B28">
        <v>1.77</v>
      </c>
      <c r="C28" s="47">
        <f t="shared" si="0"/>
        <v>0.83098591549295775</v>
      </c>
      <c r="D28" t="s">
        <v>63</v>
      </c>
      <c r="J28" s="47">
        <v>2.0629921259842519</v>
      </c>
      <c r="K28" t="s">
        <v>62</v>
      </c>
    </row>
    <row r="29" spans="1:11" x14ac:dyDescent="0.25">
      <c r="A29">
        <v>1.85</v>
      </c>
      <c r="B29">
        <v>1.9</v>
      </c>
      <c r="C29" s="47">
        <f t="shared" si="0"/>
        <v>1.027027027027027</v>
      </c>
      <c r="D29" t="s">
        <v>62</v>
      </c>
      <c r="J29" s="47">
        <v>0.48051948051948051</v>
      </c>
      <c r="K29" t="s">
        <v>62</v>
      </c>
    </row>
    <row r="30" spans="1:11" x14ac:dyDescent="0.25">
      <c r="A30">
        <v>1.69</v>
      </c>
      <c r="B30">
        <v>1.28</v>
      </c>
      <c r="C30" s="47">
        <f t="shared" si="0"/>
        <v>0.75739644970414211</v>
      </c>
      <c r="D30" t="s">
        <v>62</v>
      </c>
      <c r="J30" s="47">
        <v>1.26984126984127</v>
      </c>
      <c r="K30" t="s">
        <v>62</v>
      </c>
    </row>
    <row r="31" spans="1:11" x14ac:dyDescent="0.25">
      <c r="A31">
        <v>1.64</v>
      </c>
      <c r="B31">
        <v>0.51</v>
      </c>
      <c r="C31" s="47">
        <f t="shared" si="0"/>
        <v>0.31097560975609756</v>
      </c>
      <c r="D31" t="s">
        <v>63</v>
      </c>
      <c r="J31" s="47">
        <v>1.7898550724637683</v>
      </c>
      <c r="K31" t="s">
        <v>62</v>
      </c>
    </row>
    <row r="32" spans="1:11" x14ac:dyDescent="0.25">
      <c r="A32">
        <v>1.54</v>
      </c>
      <c r="B32">
        <v>1.49</v>
      </c>
      <c r="C32" s="47">
        <f t="shared" si="0"/>
        <v>0.96753246753246747</v>
      </c>
      <c r="D32" t="s">
        <v>62</v>
      </c>
      <c r="K32" t="s">
        <v>62</v>
      </c>
    </row>
    <row r="33" spans="1:11" x14ac:dyDescent="0.25">
      <c r="A33">
        <v>1.32</v>
      </c>
      <c r="B33">
        <v>1.67</v>
      </c>
      <c r="C33" s="47">
        <f t="shared" si="0"/>
        <v>1.2651515151515151</v>
      </c>
      <c r="D33" t="s">
        <v>62</v>
      </c>
      <c r="K33" t="s">
        <v>62</v>
      </c>
    </row>
    <row r="34" spans="1:11" x14ac:dyDescent="0.25">
      <c r="A34">
        <v>1.61</v>
      </c>
      <c r="B34">
        <v>1.2</v>
      </c>
      <c r="C34" s="47">
        <f t="shared" si="0"/>
        <v>0.74534161490683226</v>
      </c>
      <c r="D34" t="s">
        <v>63</v>
      </c>
      <c r="J34" s="47">
        <v>1.4378378378378378</v>
      </c>
      <c r="K34" t="s">
        <v>63</v>
      </c>
    </row>
    <row r="35" spans="1:11" x14ac:dyDescent="0.25">
      <c r="A35">
        <v>1.82</v>
      </c>
      <c r="B35">
        <v>0.97</v>
      </c>
      <c r="C35" s="47">
        <f t="shared" si="0"/>
        <v>0.53296703296703296</v>
      </c>
      <c r="D35" t="s">
        <v>63</v>
      </c>
      <c r="J35" s="47">
        <v>0.60399999999999998</v>
      </c>
      <c r="K35" t="s">
        <v>63</v>
      </c>
    </row>
    <row r="36" spans="1:11" x14ac:dyDescent="0.25">
      <c r="A36">
        <v>2.21</v>
      </c>
      <c r="B36">
        <v>0.81</v>
      </c>
      <c r="C36" s="47">
        <f t="shared" si="0"/>
        <v>0.36651583710407243</v>
      </c>
      <c r="D36" t="s">
        <v>63</v>
      </c>
      <c r="J36" s="47">
        <v>0.51626016260162599</v>
      </c>
      <c r="K36" t="s">
        <v>63</v>
      </c>
    </row>
    <row r="37" spans="1:11" x14ac:dyDescent="0.25">
      <c r="A37">
        <v>2.6</v>
      </c>
      <c r="B37">
        <v>1.24</v>
      </c>
      <c r="C37" s="47">
        <f t="shared" si="0"/>
        <v>0.47692307692307689</v>
      </c>
      <c r="D37" t="s">
        <v>63</v>
      </c>
      <c r="J37" s="47">
        <v>0.49056603773584906</v>
      </c>
      <c r="K37" t="s">
        <v>63</v>
      </c>
    </row>
    <row r="38" spans="1:11" x14ac:dyDescent="0.25">
      <c r="A38">
        <v>1.67</v>
      </c>
      <c r="B38">
        <v>0.98</v>
      </c>
      <c r="C38" s="47">
        <f t="shared" si="0"/>
        <v>0.58682634730538918</v>
      </c>
      <c r="D38" t="s">
        <v>63</v>
      </c>
      <c r="J38" s="47">
        <v>0.99404761904761907</v>
      </c>
      <c r="K38" t="s">
        <v>63</v>
      </c>
    </row>
    <row r="39" spans="1:11" x14ac:dyDescent="0.25">
      <c r="A39">
        <v>1.66</v>
      </c>
      <c r="B39">
        <v>1.41</v>
      </c>
      <c r="C39" s="47">
        <f t="shared" si="0"/>
        <v>0.8493975903614458</v>
      </c>
      <c r="D39" t="s">
        <v>62</v>
      </c>
      <c r="J39" s="47">
        <v>0.37158469945355194</v>
      </c>
      <c r="K39" t="s">
        <v>63</v>
      </c>
    </row>
    <row r="40" spans="1:11" x14ac:dyDescent="0.25">
      <c r="A40">
        <v>2.12</v>
      </c>
      <c r="B40">
        <v>1.21</v>
      </c>
      <c r="C40" s="47">
        <f t="shared" si="0"/>
        <v>0.570754716981132</v>
      </c>
      <c r="D40" t="s">
        <v>63</v>
      </c>
      <c r="J40" s="47">
        <v>0.35233160621761661</v>
      </c>
      <c r="K40" t="s">
        <v>63</v>
      </c>
    </row>
    <row r="41" spans="1:11" x14ac:dyDescent="0.25">
      <c r="A41">
        <v>2.06</v>
      </c>
      <c r="B41">
        <v>0.99</v>
      </c>
      <c r="C41" s="47">
        <f t="shared" si="0"/>
        <v>0.48058252427184467</v>
      </c>
      <c r="D41" t="s">
        <v>63</v>
      </c>
      <c r="J41" s="47">
        <v>0.77431906614785995</v>
      </c>
      <c r="K41" t="s">
        <v>63</v>
      </c>
    </row>
    <row r="42" spans="1:11" x14ac:dyDescent="0.25">
      <c r="A42">
        <v>1.71</v>
      </c>
      <c r="B42">
        <v>2.23</v>
      </c>
      <c r="C42" s="47">
        <f t="shared" si="0"/>
        <v>1.304093567251462</v>
      </c>
      <c r="D42" t="s">
        <v>62</v>
      </c>
      <c r="J42" s="47">
        <v>0.28571428571428575</v>
      </c>
      <c r="K42" t="s">
        <v>63</v>
      </c>
    </row>
    <row r="43" spans="1:11" x14ac:dyDescent="0.25">
      <c r="A43">
        <v>1.83</v>
      </c>
      <c r="B43">
        <v>1.28</v>
      </c>
      <c r="C43" s="47">
        <f t="shared" si="0"/>
        <v>0.69945355191256831</v>
      </c>
      <c r="D43" t="s">
        <v>63</v>
      </c>
      <c r="J43" s="47">
        <v>0.45606694560669458</v>
      </c>
      <c r="K43" t="s">
        <v>63</v>
      </c>
    </row>
    <row r="44" spans="1:11" x14ac:dyDescent="0.25">
      <c r="A44">
        <v>1.56</v>
      </c>
      <c r="B44">
        <v>0.77</v>
      </c>
      <c r="C44" s="47">
        <f t="shared" si="0"/>
        <v>0.49358974358974356</v>
      </c>
      <c r="D44" t="s">
        <v>62</v>
      </c>
      <c r="J44" s="47">
        <v>0.86407766990291257</v>
      </c>
      <c r="K44" t="s">
        <v>63</v>
      </c>
    </row>
    <row r="45" spans="1:11" x14ac:dyDescent="0.25">
      <c r="A45">
        <v>1.51</v>
      </c>
      <c r="B45">
        <v>0.94</v>
      </c>
      <c r="C45" s="47">
        <f t="shared" si="0"/>
        <v>0.62251655629139069</v>
      </c>
      <c r="D45" t="s">
        <v>62</v>
      </c>
      <c r="J45" s="47">
        <v>1.8494623655913978</v>
      </c>
      <c r="K45" t="s">
        <v>63</v>
      </c>
    </row>
    <row r="46" spans="1:11" x14ac:dyDescent="0.25">
      <c r="A46">
        <v>1.32</v>
      </c>
      <c r="B46">
        <v>2</v>
      </c>
      <c r="C46" s="47">
        <f t="shared" si="0"/>
        <v>1.5151515151515151</v>
      </c>
      <c r="D46" t="s">
        <v>62</v>
      </c>
      <c r="J46" s="47">
        <v>0.53112033195020747</v>
      </c>
      <c r="K46" t="s">
        <v>63</v>
      </c>
    </row>
    <row r="47" spans="1:11" x14ac:dyDescent="0.25">
      <c r="A47">
        <v>1.89</v>
      </c>
      <c r="B47">
        <v>0.83</v>
      </c>
      <c r="C47" s="47">
        <f t="shared" si="0"/>
        <v>0.43915343915343913</v>
      </c>
      <c r="D47" t="s">
        <v>62</v>
      </c>
      <c r="J47" s="47">
        <v>0.83098591549295775</v>
      </c>
      <c r="K47" t="s">
        <v>63</v>
      </c>
    </row>
    <row r="48" spans="1:11" x14ac:dyDescent="0.25">
      <c r="A48">
        <v>1.67</v>
      </c>
      <c r="B48">
        <v>2.2400000000000002</v>
      </c>
      <c r="C48" s="47">
        <f t="shared" si="0"/>
        <v>1.3413173652694612</v>
      </c>
      <c r="D48" t="s">
        <v>62</v>
      </c>
      <c r="J48" s="47">
        <v>0.31097560975609756</v>
      </c>
      <c r="K48" t="s">
        <v>63</v>
      </c>
    </row>
    <row r="49" spans="1:11" x14ac:dyDescent="0.25">
      <c r="A49">
        <v>1.84</v>
      </c>
      <c r="B49">
        <v>0.88</v>
      </c>
      <c r="C49" s="47">
        <f t="shared" si="0"/>
        <v>0.47826086956521735</v>
      </c>
      <c r="D49" t="s">
        <v>63</v>
      </c>
      <c r="J49" s="47">
        <v>0.74534161490683226</v>
      </c>
      <c r="K49" t="s">
        <v>63</v>
      </c>
    </row>
    <row r="50" spans="1:11" x14ac:dyDescent="0.25">
      <c r="A50">
        <v>2.58</v>
      </c>
      <c r="B50">
        <v>0.87</v>
      </c>
      <c r="C50" s="47">
        <f t="shared" si="0"/>
        <v>0.33720930232558138</v>
      </c>
      <c r="D50" t="s">
        <v>63</v>
      </c>
      <c r="J50" s="47">
        <v>0.53296703296703296</v>
      </c>
      <c r="K50" t="s">
        <v>63</v>
      </c>
    </row>
    <row r="51" spans="1:11" x14ac:dyDescent="0.25">
      <c r="A51">
        <v>1.76</v>
      </c>
      <c r="B51">
        <v>1.48</v>
      </c>
      <c r="C51" s="47">
        <f t="shared" si="0"/>
        <v>0.84090909090909094</v>
      </c>
      <c r="D51" t="s">
        <v>63</v>
      </c>
      <c r="J51" s="47">
        <v>0.36651583710407243</v>
      </c>
      <c r="K51" t="s">
        <v>63</v>
      </c>
    </row>
    <row r="52" spans="1:11" x14ac:dyDescent="0.25">
      <c r="A52">
        <v>1.19</v>
      </c>
      <c r="B52">
        <v>0.93</v>
      </c>
      <c r="C52" s="47">
        <f t="shared" si="0"/>
        <v>0.78151260504201692</v>
      </c>
      <c r="D52" t="s">
        <v>62</v>
      </c>
      <c r="J52" s="47">
        <v>0.47692307692307689</v>
      </c>
      <c r="K52" t="s">
        <v>63</v>
      </c>
    </row>
    <row r="53" spans="1:11" x14ac:dyDescent="0.25">
      <c r="A53">
        <v>1.5</v>
      </c>
      <c r="B53">
        <v>2.13</v>
      </c>
      <c r="C53" s="47">
        <f t="shared" si="0"/>
        <v>1.42</v>
      </c>
      <c r="D53" t="s">
        <v>63</v>
      </c>
      <c r="J53" s="47">
        <v>0.58682634730538918</v>
      </c>
      <c r="K53" t="s">
        <v>63</v>
      </c>
    </row>
    <row r="54" spans="1:11" x14ac:dyDescent="0.25">
      <c r="A54">
        <v>1.64</v>
      </c>
      <c r="B54">
        <v>4.16</v>
      </c>
      <c r="C54" s="47">
        <f t="shared" si="0"/>
        <v>2.5365853658536586</v>
      </c>
      <c r="D54" t="s">
        <v>63</v>
      </c>
      <c r="J54" s="47">
        <v>0.570754716981132</v>
      </c>
      <c r="K54" t="s">
        <v>63</v>
      </c>
    </row>
    <row r="55" spans="1:11" x14ac:dyDescent="0.25">
      <c r="A55">
        <v>2.21</v>
      </c>
      <c r="B55">
        <v>1.1100000000000001</v>
      </c>
      <c r="C55" s="47">
        <f t="shared" si="0"/>
        <v>0.50226244343891413</v>
      </c>
      <c r="D55" t="s">
        <v>63</v>
      </c>
      <c r="J55" s="47">
        <v>0.48058252427184467</v>
      </c>
      <c r="K55" t="s">
        <v>63</v>
      </c>
    </row>
    <row r="56" spans="1:11" x14ac:dyDescent="0.25">
      <c r="A56">
        <v>1.1200000000000001</v>
      </c>
      <c r="B56">
        <v>3.55</v>
      </c>
      <c r="C56" s="47">
        <f t="shared" si="0"/>
        <v>3.1696428571428568</v>
      </c>
      <c r="D56" t="s">
        <v>62</v>
      </c>
      <c r="J56" s="47">
        <v>0.69945355191256831</v>
      </c>
      <c r="K56" t="s">
        <v>63</v>
      </c>
    </row>
    <row r="57" spans="1:11" x14ac:dyDescent="0.25">
      <c r="A57">
        <v>1.56</v>
      </c>
      <c r="B57">
        <v>0.76</v>
      </c>
      <c r="C57" s="47">
        <f t="shared" si="0"/>
        <v>0.48717948717948717</v>
      </c>
      <c r="D57" t="s">
        <v>63</v>
      </c>
      <c r="J57" s="47">
        <v>0.47826086956521735</v>
      </c>
      <c r="K57" t="s">
        <v>63</v>
      </c>
    </row>
    <row r="58" spans="1:11" x14ac:dyDescent="0.25">
      <c r="A58">
        <v>1.27</v>
      </c>
      <c r="B58">
        <v>0.7</v>
      </c>
      <c r="C58" s="47">
        <f t="shared" si="0"/>
        <v>0.55118110236220463</v>
      </c>
      <c r="D58" t="s">
        <v>63</v>
      </c>
      <c r="J58" s="47">
        <v>0.33720930232558138</v>
      </c>
      <c r="K58" t="s">
        <v>63</v>
      </c>
    </row>
    <row r="59" spans="1:11" x14ac:dyDescent="0.25">
      <c r="A59">
        <v>1.36</v>
      </c>
      <c r="B59">
        <v>1.17</v>
      </c>
      <c r="C59" s="47">
        <f t="shared" si="0"/>
        <v>0.86029411764705876</v>
      </c>
      <c r="D59" t="s">
        <v>63</v>
      </c>
      <c r="J59" s="47">
        <v>0.84090909090909094</v>
      </c>
      <c r="K59" t="s">
        <v>63</v>
      </c>
    </row>
    <row r="60" spans="1:11" x14ac:dyDescent="0.25">
      <c r="A60">
        <v>1.27</v>
      </c>
      <c r="B60">
        <v>2.62</v>
      </c>
      <c r="C60" s="47">
        <f t="shared" si="0"/>
        <v>2.0629921259842519</v>
      </c>
      <c r="D60" t="s">
        <v>62</v>
      </c>
      <c r="J60" s="47">
        <v>1.42</v>
      </c>
      <c r="K60" t="s">
        <v>63</v>
      </c>
    </row>
    <row r="61" spans="1:11" x14ac:dyDescent="0.25">
      <c r="A61">
        <v>1.97</v>
      </c>
      <c r="B61">
        <v>1.08</v>
      </c>
      <c r="C61" s="47">
        <f t="shared" si="0"/>
        <v>0.5482233502538072</v>
      </c>
      <c r="D61" t="s">
        <v>63</v>
      </c>
      <c r="J61" s="47">
        <v>2.5365853658536586</v>
      </c>
      <c r="K61" t="s">
        <v>63</v>
      </c>
    </row>
    <row r="62" spans="1:11" x14ac:dyDescent="0.25">
      <c r="A62">
        <v>1.54</v>
      </c>
      <c r="B62">
        <v>0.74</v>
      </c>
      <c r="C62" s="47">
        <f t="shared" si="0"/>
        <v>0.48051948051948051</v>
      </c>
      <c r="D62" t="s">
        <v>62</v>
      </c>
      <c r="J62" s="47">
        <v>0.50226244343891413</v>
      </c>
      <c r="K62" t="s">
        <v>63</v>
      </c>
    </row>
    <row r="63" spans="1:11" x14ac:dyDescent="0.25">
      <c r="A63">
        <v>1.37</v>
      </c>
      <c r="B63">
        <v>1.32</v>
      </c>
      <c r="C63" s="47">
        <f t="shared" si="0"/>
        <v>0.96350364963503643</v>
      </c>
      <c r="D63" t="s">
        <v>63</v>
      </c>
      <c r="J63" s="47">
        <v>0.48717948717948717</v>
      </c>
      <c r="K63" t="s">
        <v>63</v>
      </c>
    </row>
    <row r="64" spans="1:11" x14ac:dyDescent="0.25">
      <c r="A64">
        <v>1.54</v>
      </c>
      <c r="B64">
        <v>1.34</v>
      </c>
      <c r="C64" s="47">
        <f t="shared" si="0"/>
        <v>0.8701298701298702</v>
      </c>
      <c r="D64" t="s">
        <v>63</v>
      </c>
      <c r="J64" s="47">
        <v>0.55118110236220463</v>
      </c>
      <c r="K64" t="s">
        <v>63</v>
      </c>
    </row>
    <row r="65" spans="1:11" x14ac:dyDescent="0.25">
      <c r="A65">
        <v>2.1800000000000002</v>
      </c>
      <c r="B65">
        <v>1.1299999999999999</v>
      </c>
      <c r="C65" s="47">
        <f t="shared" si="0"/>
        <v>0.5183486238532109</v>
      </c>
      <c r="D65" t="s">
        <v>63</v>
      </c>
      <c r="J65" s="47">
        <v>0.86029411764705876</v>
      </c>
      <c r="K65" t="s">
        <v>63</v>
      </c>
    </row>
    <row r="66" spans="1:11" x14ac:dyDescent="0.25">
      <c r="A66">
        <v>1.26</v>
      </c>
      <c r="B66">
        <v>1.6</v>
      </c>
      <c r="C66" s="47">
        <f t="shared" si="0"/>
        <v>1.26984126984127</v>
      </c>
      <c r="D66" t="s">
        <v>62</v>
      </c>
      <c r="J66" s="47">
        <v>0.5482233502538072</v>
      </c>
      <c r="K66" t="s">
        <v>63</v>
      </c>
    </row>
    <row r="67" spans="1:11" x14ac:dyDescent="0.25">
      <c r="A67">
        <v>1.38</v>
      </c>
      <c r="B67">
        <v>2.4700000000000002</v>
      </c>
      <c r="C67" s="47">
        <f t="shared" ref="C67" si="2">B67/A67</f>
        <v>1.7898550724637683</v>
      </c>
      <c r="D67" t="s">
        <v>62</v>
      </c>
      <c r="J67" s="47">
        <v>0.96350364963503643</v>
      </c>
      <c r="K67" t="s">
        <v>63</v>
      </c>
    </row>
    <row r="68" spans="1:11" x14ac:dyDescent="0.25">
      <c r="A68">
        <v>1.28</v>
      </c>
      <c r="D68" t="s">
        <v>63</v>
      </c>
      <c r="J68" s="47">
        <v>0.8701298701298702</v>
      </c>
      <c r="K68" t="s">
        <v>63</v>
      </c>
    </row>
    <row r="69" spans="1:11" x14ac:dyDescent="0.25">
      <c r="A69">
        <v>1.8</v>
      </c>
      <c r="D69" t="s">
        <v>62</v>
      </c>
      <c r="J69" s="47">
        <v>0.5183486238532109</v>
      </c>
      <c r="K69" t="s">
        <v>63</v>
      </c>
    </row>
    <row r="70" spans="1:11" x14ac:dyDescent="0.25">
      <c r="A70">
        <v>1.1299999999999999</v>
      </c>
      <c r="D70" t="s">
        <v>62</v>
      </c>
      <c r="K7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selection activeCell="N14" sqref="N14"/>
    </sheetView>
  </sheetViews>
  <sheetFormatPr defaultRowHeight="15" x14ac:dyDescent="0.25"/>
  <cols>
    <col min="1" max="1" width="8.7109375" customWidth="1"/>
    <col min="2" max="2" width="9.140625" customWidth="1"/>
    <col min="3" max="3" width="11.28515625" customWidth="1"/>
    <col min="4" max="4" width="27.85546875" customWidth="1"/>
    <col min="5" max="5" width="11.7109375" customWidth="1"/>
    <col min="6" max="6" width="8.7109375" customWidth="1"/>
    <col min="7" max="7" width="9.85546875" customWidth="1"/>
    <col min="8" max="14" width="8.7109375" customWidth="1"/>
    <col min="15" max="15" width="21.7109375" customWidth="1"/>
    <col min="16" max="1025" width="8.7109375" customWidth="1"/>
  </cols>
  <sheetData>
    <row r="1" spans="1:18" x14ac:dyDescent="0.25">
      <c r="A1" t="s">
        <v>4</v>
      </c>
      <c r="B1" t="s">
        <v>80</v>
      </c>
      <c r="C1" t="s">
        <v>64</v>
      </c>
      <c r="D1" t="s">
        <v>81</v>
      </c>
      <c r="O1" t="s">
        <v>82</v>
      </c>
    </row>
    <row r="2" spans="1:18" x14ac:dyDescent="0.25">
      <c r="A2">
        <v>22</v>
      </c>
      <c r="B2" s="3">
        <v>77</v>
      </c>
      <c r="C2" s="51" t="s">
        <v>62</v>
      </c>
      <c r="D2" t="s">
        <v>83</v>
      </c>
      <c r="E2">
        <f>MIN(A2:A69)</f>
        <v>16</v>
      </c>
      <c r="O2" t="s">
        <v>83</v>
      </c>
      <c r="P2">
        <f>MIN(B2:B70)</f>
        <v>64</v>
      </c>
    </row>
    <row r="3" spans="1:18" x14ac:dyDescent="0.25">
      <c r="A3">
        <v>26</v>
      </c>
      <c r="B3" s="3">
        <v>95</v>
      </c>
      <c r="C3" s="34" t="s">
        <v>62</v>
      </c>
      <c r="D3" t="s">
        <v>84</v>
      </c>
      <c r="E3">
        <f>MAX(A2:A69)</f>
        <v>32</v>
      </c>
      <c r="O3" t="s">
        <v>85</v>
      </c>
      <c r="P3">
        <f>MAX(B2:B70)</f>
        <v>105</v>
      </c>
    </row>
    <row r="4" spans="1:18" x14ac:dyDescent="0.25">
      <c r="A4">
        <v>19</v>
      </c>
      <c r="B4" s="3">
        <v>74</v>
      </c>
      <c r="C4" s="52" t="s">
        <v>62</v>
      </c>
    </row>
    <row r="5" spans="1:18" x14ac:dyDescent="0.25">
      <c r="A5">
        <v>28</v>
      </c>
      <c r="B5" s="3">
        <v>102</v>
      </c>
      <c r="C5" s="53" t="s">
        <v>62</v>
      </c>
    </row>
    <row r="6" spans="1:18" ht="15.75" x14ac:dyDescent="0.25">
      <c r="A6">
        <v>23</v>
      </c>
      <c r="B6" s="3">
        <v>83</v>
      </c>
      <c r="C6" s="52" t="s">
        <v>62</v>
      </c>
      <c r="D6" s="54" t="s">
        <v>86</v>
      </c>
      <c r="E6" s="55" t="s">
        <v>87</v>
      </c>
      <c r="F6" s="56" t="s">
        <v>68</v>
      </c>
      <c r="G6" s="56" t="s">
        <v>69</v>
      </c>
      <c r="H6" s="57"/>
      <c r="I6" s="57"/>
      <c r="J6" s="57"/>
      <c r="K6" s="57"/>
      <c r="L6" s="57"/>
      <c r="M6" s="57"/>
      <c r="N6" s="56"/>
      <c r="O6" s="56" t="s">
        <v>86</v>
      </c>
      <c r="P6" s="56" t="s">
        <v>67</v>
      </c>
      <c r="Q6" s="56" t="s">
        <v>68</v>
      </c>
      <c r="R6" s="56" t="s">
        <v>88</v>
      </c>
    </row>
    <row r="7" spans="1:18" ht="15.75" x14ac:dyDescent="0.25">
      <c r="A7">
        <v>23</v>
      </c>
      <c r="B7" s="3">
        <v>83</v>
      </c>
      <c r="C7" s="58" t="s">
        <v>62</v>
      </c>
      <c r="D7" s="59" t="s">
        <v>89</v>
      </c>
      <c r="E7" s="60" t="s">
        <v>90</v>
      </c>
      <c r="F7" s="56">
        <f>COUNTIFS($A$2:$A$69,"&lt;18.5")</f>
        <v>7</v>
      </c>
      <c r="G7" s="50">
        <f t="shared" ref="G7:G12" si="0">F7/68*100</f>
        <v>10.294117647058822</v>
      </c>
      <c r="H7" s="61"/>
      <c r="I7" s="61"/>
      <c r="J7" s="61"/>
      <c r="K7" s="61"/>
      <c r="L7" s="61"/>
      <c r="M7" s="61"/>
      <c r="N7" s="56" t="s">
        <v>76</v>
      </c>
      <c r="O7" s="56" t="s">
        <v>91</v>
      </c>
      <c r="P7" s="56" t="s">
        <v>92</v>
      </c>
      <c r="Q7" s="56">
        <f>COUNTIFS($B$2:$B$33,"&lt;90")</f>
        <v>23</v>
      </c>
      <c r="R7" s="62">
        <f>Q7/32*100</f>
        <v>71.875</v>
      </c>
    </row>
    <row r="8" spans="1:18" ht="17.25" customHeight="1" x14ac:dyDescent="0.25">
      <c r="A8">
        <v>22</v>
      </c>
      <c r="B8" s="3">
        <v>81</v>
      </c>
      <c r="C8" s="63" t="s">
        <v>62</v>
      </c>
      <c r="D8" s="59" t="s">
        <v>79</v>
      </c>
      <c r="E8" s="60" t="s">
        <v>93</v>
      </c>
      <c r="F8" s="56">
        <f>COUNTIFS($A$2:$A$69,"&gt;=19",$A$2:$A$69,"&lt;=22")</f>
        <v>20</v>
      </c>
      <c r="G8" s="50">
        <f t="shared" si="0"/>
        <v>29.411764705882355</v>
      </c>
      <c r="H8" s="61"/>
      <c r="I8" s="61"/>
      <c r="J8" s="61"/>
      <c r="K8" s="61"/>
      <c r="L8" s="61"/>
      <c r="M8" s="61"/>
      <c r="N8" s="56"/>
      <c r="O8" s="56" t="s">
        <v>94</v>
      </c>
      <c r="P8" s="56" t="s">
        <v>95</v>
      </c>
      <c r="Q8" s="56">
        <f>COUNTIFS($B$2:$B$33,"&gt;=90")</f>
        <v>9</v>
      </c>
      <c r="R8" s="62">
        <f>Q8/32*100</f>
        <v>28.125</v>
      </c>
    </row>
    <row r="9" spans="1:18" ht="15.75" x14ac:dyDescent="0.25">
      <c r="A9">
        <v>23</v>
      </c>
      <c r="B9" s="3">
        <v>85</v>
      </c>
      <c r="C9" s="34" t="s">
        <v>62</v>
      </c>
      <c r="D9" s="59" t="s">
        <v>96</v>
      </c>
      <c r="E9" s="60" t="s">
        <v>97</v>
      </c>
      <c r="F9" s="56">
        <f>COUNTIFS($A$2:$A$69,"&gt;=23",$A$2:$A$69,"&lt;=24.9")</f>
        <v>15</v>
      </c>
      <c r="G9" s="50">
        <f t="shared" si="0"/>
        <v>22.058823529411764</v>
      </c>
      <c r="H9" s="61"/>
      <c r="I9" s="61"/>
      <c r="J9" s="61"/>
      <c r="K9" s="61"/>
      <c r="L9" s="61"/>
      <c r="M9" s="61"/>
      <c r="N9" s="56"/>
      <c r="O9" s="56"/>
      <c r="P9" s="56" t="s">
        <v>73</v>
      </c>
      <c r="Q9" s="56">
        <v>32</v>
      </c>
      <c r="R9" s="62">
        <f>Q9/32*100</f>
        <v>100</v>
      </c>
    </row>
    <row r="10" spans="1:18" ht="15.75" x14ac:dyDescent="0.25">
      <c r="A10">
        <v>27</v>
      </c>
      <c r="B10" s="3">
        <v>97</v>
      </c>
      <c r="C10" s="34" t="s">
        <v>62</v>
      </c>
      <c r="D10" s="59" t="s">
        <v>98</v>
      </c>
      <c r="E10" s="60" t="s">
        <v>99</v>
      </c>
      <c r="F10" s="56">
        <f>COUNTIFS($A$2:$A$69,"&gt;=25",$A$2:$A$69,"&lt;=29.9")</f>
        <v>22</v>
      </c>
      <c r="G10" s="50">
        <f t="shared" si="0"/>
        <v>32.352941176470587</v>
      </c>
      <c r="H10" s="61"/>
      <c r="I10" s="61"/>
      <c r="J10" s="61"/>
      <c r="K10" s="61"/>
      <c r="L10" s="61"/>
      <c r="M10" s="61"/>
      <c r="N10" s="56" t="s">
        <v>77</v>
      </c>
      <c r="O10" s="56" t="s">
        <v>91</v>
      </c>
      <c r="P10" s="56" t="s">
        <v>100</v>
      </c>
      <c r="Q10" s="56">
        <f>COUNTIFS($B$34:$B$68,"&lt;80")</f>
        <v>10</v>
      </c>
      <c r="R10" s="62">
        <f>Q10/35*100</f>
        <v>28.571428571428569</v>
      </c>
    </row>
    <row r="11" spans="1:18" ht="15.75" x14ac:dyDescent="0.25">
      <c r="A11">
        <v>19</v>
      </c>
      <c r="B11" s="3">
        <v>80</v>
      </c>
      <c r="C11" s="34" t="s">
        <v>62</v>
      </c>
      <c r="D11" s="59" t="s">
        <v>101</v>
      </c>
      <c r="E11" s="64" t="s">
        <v>102</v>
      </c>
      <c r="F11" s="56">
        <f>COUNTIFS($A$2:$A$69,"&gt;=30",A2:A69,"&lt;=40")</f>
        <v>4</v>
      </c>
      <c r="G11" s="50">
        <f t="shared" si="0"/>
        <v>5.8823529411764701</v>
      </c>
      <c r="H11" s="61"/>
      <c r="I11" s="61"/>
      <c r="J11" s="61"/>
      <c r="K11" s="61"/>
      <c r="L11" s="61"/>
      <c r="M11" s="61"/>
      <c r="N11" s="56"/>
      <c r="O11" s="56" t="s">
        <v>94</v>
      </c>
      <c r="P11" s="56" t="s">
        <v>103</v>
      </c>
      <c r="Q11" s="56">
        <f>COUNTIFS($B$34:$B$68,"&gt;=80")</f>
        <v>25</v>
      </c>
      <c r="R11" s="62">
        <f>Q11/35*100</f>
        <v>71.428571428571431</v>
      </c>
    </row>
    <row r="12" spans="1:18" ht="15.75" x14ac:dyDescent="0.25">
      <c r="A12">
        <v>19</v>
      </c>
      <c r="B12" s="3">
        <v>81</v>
      </c>
      <c r="C12" s="65" t="s">
        <v>62</v>
      </c>
      <c r="D12" s="56"/>
      <c r="E12" s="60" t="s">
        <v>73</v>
      </c>
      <c r="F12" s="56">
        <f>SUM(F7:F11)</f>
        <v>68</v>
      </c>
      <c r="G12" s="50">
        <f t="shared" si="0"/>
        <v>100</v>
      </c>
      <c r="H12" s="61"/>
      <c r="I12" s="61"/>
      <c r="J12" s="61"/>
      <c r="K12" s="61"/>
      <c r="L12" s="61"/>
      <c r="M12" s="61"/>
      <c r="N12" s="56"/>
      <c r="O12" s="56"/>
      <c r="P12" s="56" t="s">
        <v>73</v>
      </c>
      <c r="Q12" s="56">
        <v>35</v>
      </c>
      <c r="R12" s="62">
        <f>Q12/35*100</f>
        <v>100</v>
      </c>
    </row>
    <row r="13" spans="1:18" x14ac:dyDescent="0.25">
      <c r="A13">
        <v>21</v>
      </c>
      <c r="B13" s="3">
        <v>78</v>
      </c>
      <c r="C13" s="34" t="s">
        <v>62</v>
      </c>
      <c r="F13" s="66"/>
      <c r="R13" s="67"/>
    </row>
    <row r="14" spans="1:18" x14ac:dyDescent="0.25">
      <c r="A14">
        <v>23</v>
      </c>
      <c r="B14" s="3">
        <v>85</v>
      </c>
      <c r="C14" s="68" t="s">
        <v>62</v>
      </c>
      <c r="N14" s="56"/>
      <c r="O14" s="56" t="s">
        <v>104</v>
      </c>
      <c r="P14" s="56" t="s">
        <v>105</v>
      </c>
    </row>
    <row r="15" spans="1:18" ht="15.75" x14ac:dyDescent="0.25">
      <c r="A15">
        <v>19</v>
      </c>
      <c r="B15" s="3">
        <v>69</v>
      </c>
      <c r="C15" s="34" t="s">
        <v>62</v>
      </c>
      <c r="D15" s="54" t="s">
        <v>86</v>
      </c>
      <c r="E15" s="55" t="s">
        <v>87</v>
      </c>
      <c r="F15" s="56" t="s">
        <v>76</v>
      </c>
      <c r="G15" s="56" t="s">
        <v>69</v>
      </c>
      <c r="H15" s="56" t="s">
        <v>77</v>
      </c>
      <c r="I15" s="56" t="s">
        <v>69</v>
      </c>
      <c r="N15" s="56" t="s">
        <v>76</v>
      </c>
      <c r="O15" s="56" t="s">
        <v>91</v>
      </c>
      <c r="P15" s="62">
        <v>71.875</v>
      </c>
    </row>
    <row r="16" spans="1:18" ht="15.75" x14ac:dyDescent="0.25">
      <c r="A16">
        <v>18</v>
      </c>
      <c r="B16" s="3">
        <v>76</v>
      </c>
      <c r="C16" s="69" t="s">
        <v>62</v>
      </c>
      <c r="D16" s="59" t="s">
        <v>89</v>
      </c>
      <c r="E16" s="60" t="s">
        <v>90</v>
      </c>
      <c r="F16" s="56">
        <f>COUNTIFS($A$2:$A$33,"&lt;18.5")</f>
        <v>4</v>
      </c>
      <c r="G16" s="50">
        <f t="shared" ref="G16:G21" si="1">F16/32*100</f>
        <v>12.5</v>
      </c>
      <c r="H16" s="56">
        <f>COUNTIFS(A34:A69,"&lt;18.5")</f>
        <v>3</v>
      </c>
      <c r="I16" s="50">
        <f t="shared" ref="I16:I21" si="2">H16/36*100</f>
        <v>8.3333333333333321</v>
      </c>
      <c r="N16" s="56"/>
      <c r="O16" s="56" t="s">
        <v>94</v>
      </c>
      <c r="P16" s="62">
        <v>28.125</v>
      </c>
    </row>
    <row r="17" spans="1:16" ht="15.75" x14ac:dyDescent="0.25">
      <c r="A17">
        <v>27</v>
      </c>
      <c r="B17" s="3">
        <v>92</v>
      </c>
      <c r="C17" s="34" t="s">
        <v>62</v>
      </c>
      <c r="D17" s="59" t="s">
        <v>79</v>
      </c>
      <c r="E17" s="60" t="s">
        <v>93</v>
      </c>
      <c r="F17" s="56">
        <f>COUNTIFS($A$2:$A$33,"&gt;=18.5",$A$2:$A$33,"&lt;=22.9")</f>
        <v>12</v>
      </c>
      <c r="G17" s="50">
        <f t="shared" si="1"/>
        <v>37.5</v>
      </c>
      <c r="H17" s="56">
        <f>COUNTIFS($A$34:$A$69,"&gt;=18.5",$A$34:$A$69,"&lt;=22.9")</f>
        <v>8</v>
      </c>
      <c r="I17" s="50">
        <f t="shared" si="2"/>
        <v>22.222222222222221</v>
      </c>
      <c r="N17" s="56" t="s">
        <v>77</v>
      </c>
      <c r="O17" s="56" t="s">
        <v>91</v>
      </c>
      <c r="P17" s="62">
        <v>28.571428571428601</v>
      </c>
    </row>
    <row r="18" spans="1:16" ht="15.75" x14ac:dyDescent="0.25">
      <c r="A18">
        <v>17</v>
      </c>
      <c r="B18" s="3">
        <v>71</v>
      </c>
      <c r="C18" s="34" t="s">
        <v>62</v>
      </c>
      <c r="D18" s="59" t="s">
        <v>96</v>
      </c>
      <c r="E18" s="60" t="s">
        <v>97</v>
      </c>
      <c r="F18" s="56">
        <f>COUNTIFS($A$2:$A$33,"&gt;=23",$A$2:$A$33,"&lt;=24.9")</f>
        <v>6</v>
      </c>
      <c r="G18" s="50">
        <f t="shared" si="1"/>
        <v>18.75</v>
      </c>
      <c r="H18" s="56">
        <f>COUNTIFS($A$34:$A$69,"&gt;=23",$A$34:$A$69,"&lt;=24.9")</f>
        <v>9</v>
      </c>
      <c r="I18" s="50">
        <f t="shared" si="2"/>
        <v>25</v>
      </c>
      <c r="N18" s="56"/>
      <c r="O18" s="56" t="s">
        <v>94</v>
      </c>
      <c r="P18" s="62">
        <v>71.428571428571402</v>
      </c>
    </row>
    <row r="19" spans="1:16" ht="15.75" x14ac:dyDescent="0.25">
      <c r="A19">
        <v>22</v>
      </c>
      <c r="B19" s="3">
        <v>77</v>
      </c>
      <c r="C19" s="34" t="s">
        <v>62</v>
      </c>
      <c r="D19" s="59" t="s">
        <v>98</v>
      </c>
      <c r="E19" s="60" t="s">
        <v>99</v>
      </c>
      <c r="F19" s="56">
        <f>COUNTIFS($A$2:$A$33,"&gt;=25",$A$2:$A$33,"&lt;=29.9")</f>
        <v>10</v>
      </c>
      <c r="G19" s="50">
        <f t="shared" si="1"/>
        <v>31.25</v>
      </c>
      <c r="H19" s="56">
        <f>COUNTIFS($A$34:$A$69,"&gt;=25",$A$34:$A$69,"&lt;=29.9")</f>
        <v>12</v>
      </c>
      <c r="I19" s="50">
        <f t="shared" si="2"/>
        <v>33.333333333333329</v>
      </c>
    </row>
    <row r="20" spans="1:16" ht="15.75" x14ac:dyDescent="0.25">
      <c r="A20">
        <v>21</v>
      </c>
      <c r="B20" s="3">
        <v>71</v>
      </c>
      <c r="C20" s="70" t="s">
        <v>62</v>
      </c>
      <c r="D20" s="59" t="s">
        <v>101</v>
      </c>
      <c r="E20" s="64" t="s">
        <v>102</v>
      </c>
      <c r="F20" s="56">
        <f>COUNTIFS($A$2:$A$33,"&gt;=30")</f>
        <v>0</v>
      </c>
      <c r="G20" s="50">
        <f t="shared" si="1"/>
        <v>0</v>
      </c>
      <c r="H20" s="56">
        <f>COUNTIFS($A$34:$A$69,"&gt;=30")</f>
        <v>4</v>
      </c>
      <c r="I20" s="50">
        <f t="shared" si="2"/>
        <v>11.111111111111111</v>
      </c>
      <c r="N20" s="56" t="s">
        <v>64</v>
      </c>
      <c r="O20" s="56" t="s">
        <v>104</v>
      </c>
      <c r="P20" s="56"/>
    </row>
    <row r="21" spans="1:16" ht="15.75" x14ac:dyDescent="0.25">
      <c r="A21">
        <v>21</v>
      </c>
      <c r="B21" s="3">
        <v>74</v>
      </c>
      <c r="C21" s="34" t="s">
        <v>62</v>
      </c>
      <c r="D21" s="56"/>
      <c r="E21" s="60" t="s">
        <v>73</v>
      </c>
      <c r="F21" s="56">
        <f>SUM(F16:F20)</f>
        <v>32</v>
      </c>
      <c r="G21" s="50">
        <f t="shared" si="1"/>
        <v>100</v>
      </c>
      <c r="H21" s="56">
        <f>SUM(H16:H20)</f>
        <v>36</v>
      </c>
      <c r="I21" s="50">
        <f t="shared" si="2"/>
        <v>100</v>
      </c>
      <c r="N21" s="56"/>
      <c r="O21" s="56" t="s">
        <v>91</v>
      </c>
      <c r="P21" s="56" t="s">
        <v>94</v>
      </c>
    </row>
    <row r="22" spans="1:16" x14ac:dyDescent="0.25">
      <c r="A22">
        <v>23</v>
      </c>
      <c r="B22" s="3">
        <v>77</v>
      </c>
      <c r="C22" s="34" t="s">
        <v>62</v>
      </c>
      <c r="N22" s="56" t="s">
        <v>76</v>
      </c>
      <c r="O22" s="56">
        <v>71.900000000000006</v>
      </c>
      <c r="P22" s="56">
        <v>28.1</v>
      </c>
    </row>
    <row r="23" spans="1:16" ht="15.75" x14ac:dyDescent="0.25">
      <c r="A23">
        <v>24</v>
      </c>
      <c r="B23" s="3">
        <v>82</v>
      </c>
      <c r="C23" s="34" t="s">
        <v>62</v>
      </c>
      <c r="D23" s="54" t="s">
        <v>86</v>
      </c>
      <c r="E23" s="56" t="s">
        <v>69</v>
      </c>
      <c r="N23" s="56" t="s">
        <v>77</v>
      </c>
      <c r="O23" s="56">
        <v>28.6</v>
      </c>
      <c r="P23" s="56">
        <v>71.400000000000006</v>
      </c>
    </row>
    <row r="24" spans="1:16" ht="15.75" x14ac:dyDescent="0.25">
      <c r="A24">
        <v>20</v>
      </c>
      <c r="B24" s="3">
        <v>72</v>
      </c>
      <c r="C24" s="34" t="s">
        <v>62</v>
      </c>
      <c r="D24" s="59" t="s">
        <v>89</v>
      </c>
      <c r="E24" s="50">
        <v>10.294117647058799</v>
      </c>
    </row>
    <row r="25" spans="1:16" ht="15.75" x14ac:dyDescent="0.25">
      <c r="A25">
        <v>25</v>
      </c>
      <c r="B25" s="3">
        <v>85</v>
      </c>
      <c r="C25" s="3" t="s">
        <v>62</v>
      </c>
      <c r="D25" s="59" t="s">
        <v>79</v>
      </c>
      <c r="E25" s="50">
        <v>29.411764705882401</v>
      </c>
      <c r="I25" s="56" t="s">
        <v>64</v>
      </c>
      <c r="J25" s="56" t="s">
        <v>104</v>
      </c>
      <c r="K25" s="56"/>
    </row>
    <row r="26" spans="1:16" ht="31.5" x14ac:dyDescent="0.25">
      <c r="A26">
        <v>18</v>
      </c>
      <c r="B26" s="3">
        <v>70</v>
      </c>
      <c r="C26" s="3" t="s">
        <v>62</v>
      </c>
      <c r="D26" s="59" t="s">
        <v>96</v>
      </c>
      <c r="E26" s="50">
        <v>22.0588235294118</v>
      </c>
      <c r="H26" s="76"/>
      <c r="I26" s="75"/>
      <c r="J26" s="56" t="s">
        <v>91</v>
      </c>
      <c r="K26" s="56" t="s">
        <v>94</v>
      </c>
      <c r="L26" s="59" t="s">
        <v>89</v>
      </c>
      <c r="M26" s="59" t="s">
        <v>79</v>
      </c>
      <c r="N26" s="59" t="s">
        <v>96</v>
      </c>
      <c r="O26" s="59" t="s">
        <v>98</v>
      </c>
      <c r="P26" s="59" t="s">
        <v>101</v>
      </c>
    </row>
    <row r="27" spans="1:16" ht="15.75" x14ac:dyDescent="0.25">
      <c r="A27">
        <v>25</v>
      </c>
      <c r="B27" s="3">
        <v>90</v>
      </c>
      <c r="C27" s="34" t="s">
        <v>62</v>
      </c>
      <c r="D27" s="59" t="s">
        <v>98</v>
      </c>
      <c r="E27" s="50">
        <v>32.352941176470601</v>
      </c>
      <c r="H27" s="76"/>
      <c r="I27" s="75" t="s">
        <v>76</v>
      </c>
      <c r="J27" s="56">
        <v>71.900000000000006</v>
      </c>
      <c r="K27" s="56">
        <v>28.1</v>
      </c>
      <c r="L27" s="50">
        <v>12.5</v>
      </c>
      <c r="M27" s="50">
        <v>37.5</v>
      </c>
      <c r="N27" s="50">
        <v>18.75</v>
      </c>
      <c r="O27" s="50">
        <v>31.25</v>
      </c>
      <c r="P27" s="50">
        <v>0</v>
      </c>
    </row>
    <row r="28" spans="1:16" ht="15.75" x14ac:dyDescent="0.25">
      <c r="A28">
        <v>27</v>
      </c>
      <c r="B28" s="3">
        <v>93</v>
      </c>
      <c r="C28" s="34" t="s">
        <v>62</v>
      </c>
      <c r="D28" s="59" t="s">
        <v>101</v>
      </c>
      <c r="E28" s="50">
        <v>5.8823529411764701</v>
      </c>
      <c r="H28" s="76"/>
      <c r="I28" s="75" t="s">
        <v>77</v>
      </c>
      <c r="J28" s="56">
        <v>28.6</v>
      </c>
      <c r="K28" s="56">
        <v>71.400000000000006</v>
      </c>
      <c r="L28" s="50">
        <v>8.3333333333333304</v>
      </c>
      <c r="M28" s="50">
        <v>22.2222222222222</v>
      </c>
      <c r="N28" s="50">
        <v>25</v>
      </c>
      <c r="O28" s="50">
        <v>33.3333333333333</v>
      </c>
      <c r="P28" s="50">
        <v>11.1111111111111</v>
      </c>
    </row>
    <row r="29" spans="1:16" ht="31.5" x14ac:dyDescent="0.25">
      <c r="A29">
        <v>20</v>
      </c>
      <c r="B29" s="3">
        <v>74</v>
      </c>
      <c r="C29" s="34" t="s">
        <v>62</v>
      </c>
      <c r="D29" s="56"/>
      <c r="E29" s="50">
        <f>SUM(E24:E28)</f>
        <v>100.00000000000006</v>
      </c>
      <c r="H29" s="76"/>
      <c r="J29" s="59" t="s">
        <v>89</v>
      </c>
      <c r="K29" s="59" t="s">
        <v>79</v>
      </c>
      <c r="L29" s="59" t="s">
        <v>96</v>
      </c>
      <c r="M29" s="59" t="s">
        <v>98</v>
      </c>
      <c r="N29" s="59" t="s">
        <v>101</v>
      </c>
    </row>
    <row r="30" spans="1:16" x14ac:dyDescent="0.25">
      <c r="A30">
        <v>17</v>
      </c>
      <c r="B30" s="3">
        <v>64</v>
      </c>
      <c r="C30" s="34" t="s">
        <v>62</v>
      </c>
      <c r="H30" s="76"/>
      <c r="I30" s="75" t="s">
        <v>76</v>
      </c>
      <c r="J30" s="50">
        <v>12.5</v>
      </c>
      <c r="K30" s="50">
        <v>37.5</v>
      </c>
      <c r="L30" s="50">
        <v>18.75</v>
      </c>
      <c r="M30" s="50">
        <v>31.25</v>
      </c>
      <c r="N30" s="50">
        <v>0</v>
      </c>
    </row>
    <row r="31" spans="1:16" ht="31.5" x14ac:dyDescent="0.25">
      <c r="A31">
        <v>27</v>
      </c>
      <c r="B31" s="3">
        <v>92</v>
      </c>
      <c r="C31" s="34" t="s">
        <v>62</v>
      </c>
      <c r="D31" s="54" t="s">
        <v>86</v>
      </c>
      <c r="E31" s="56" t="s">
        <v>106</v>
      </c>
      <c r="F31" s="56" t="s">
        <v>107</v>
      </c>
      <c r="H31" s="76"/>
      <c r="J31" s="59" t="s">
        <v>89</v>
      </c>
      <c r="K31" s="59" t="s">
        <v>79</v>
      </c>
      <c r="L31" s="59" t="s">
        <v>96</v>
      </c>
      <c r="M31" s="59" t="s">
        <v>98</v>
      </c>
      <c r="N31" s="59" t="s">
        <v>101</v>
      </c>
    </row>
    <row r="32" spans="1:16" ht="15.75" x14ac:dyDescent="0.25">
      <c r="A32">
        <v>27</v>
      </c>
      <c r="B32" s="3">
        <v>99</v>
      </c>
      <c r="C32" s="34" t="s">
        <v>62</v>
      </c>
      <c r="D32" s="59" t="s">
        <v>89</v>
      </c>
      <c r="E32" s="50">
        <v>12.5</v>
      </c>
      <c r="F32" s="50">
        <v>8.3333333333333304</v>
      </c>
      <c r="H32" s="76"/>
      <c r="I32" s="71" t="s">
        <v>77</v>
      </c>
      <c r="J32" s="50">
        <v>8.3333333333333304</v>
      </c>
      <c r="K32" s="50">
        <v>22.2222222222222</v>
      </c>
      <c r="L32" s="50">
        <v>25</v>
      </c>
      <c r="M32" s="50">
        <v>33.3333333333333</v>
      </c>
      <c r="N32" s="50">
        <v>11.1111111111111</v>
      </c>
    </row>
    <row r="33" spans="1:11" ht="15.75" x14ac:dyDescent="0.25">
      <c r="A33">
        <v>29</v>
      </c>
      <c r="B33" s="3">
        <v>99</v>
      </c>
      <c r="C33" s="34" t="s">
        <v>62</v>
      </c>
      <c r="D33" s="59" t="s">
        <v>79</v>
      </c>
      <c r="E33" s="50">
        <v>37.5</v>
      </c>
      <c r="F33" s="50">
        <v>22.2222222222222</v>
      </c>
      <c r="H33" s="76"/>
      <c r="J33" s="56" t="s">
        <v>91</v>
      </c>
      <c r="K33" s="56" t="s">
        <v>94</v>
      </c>
    </row>
    <row r="34" spans="1:11" ht="15.75" x14ac:dyDescent="0.25">
      <c r="A34">
        <v>25</v>
      </c>
      <c r="B34" s="3">
        <v>82</v>
      </c>
      <c r="C34" s="52" t="s">
        <v>63</v>
      </c>
      <c r="D34" s="59" t="s">
        <v>96</v>
      </c>
      <c r="E34" s="50">
        <v>18.75</v>
      </c>
      <c r="F34" s="50">
        <v>25</v>
      </c>
      <c r="I34" s="56" t="s">
        <v>77</v>
      </c>
      <c r="J34" s="56">
        <v>28.6</v>
      </c>
      <c r="K34" s="56">
        <v>71.400000000000006</v>
      </c>
    </row>
    <row r="35" spans="1:11" ht="15.75" x14ac:dyDescent="0.25">
      <c r="A35">
        <v>18</v>
      </c>
      <c r="B35" s="3">
        <v>66</v>
      </c>
      <c r="C35" s="52" t="s">
        <v>63</v>
      </c>
      <c r="D35" s="59" t="s">
        <v>98</v>
      </c>
      <c r="E35" s="50">
        <v>31.25</v>
      </c>
      <c r="F35" s="50">
        <v>33.3333333333333</v>
      </c>
    </row>
    <row r="36" spans="1:11" ht="15.75" x14ac:dyDescent="0.25">
      <c r="A36">
        <v>25</v>
      </c>
      <c r="B36" s="3">
        <v>97</v>
      </c>
      <c r="C36" s="34" t="s">
        <v>63</v>
      </c>
      <c r="D36" s="59" t="s">
        <v>101</v>
      </c>
      <c r="E36" s="50">
        <v>0</v>
      </c>
      <c r="F36" s="50">
        <v>11.1111111111111</v>
      </c>
    </row>
    <row r="37" spans="1:11" x14ac:dyDescent="0.25">
      <c r="A37">
        <v>27</v>
      </c>
      <c r="B37" s="3">
        <v>94</v>
      </c>
      <c r="C37" s="72" t="s">
        <v>63</v>
      </c>
    </row>
    <row r="38" spans="1:11" x14ac:dyDescent="0.25">
      <c r="A38">
        <v>21</v>
      </c>
      <c r="B38" s="3">
        <v>77</v>
      </c>
      <c r="C38" s="53" t="s">
        <v>63</v>
      </c>
    </row>
    <row r="39" spans="1:11" x14ac:dyDescent="0.25">
      <c r="A39">
        <v>21</v>
      </c>
      <c r="B39" s="3">
        <v>84</v>
      </c>
      <c r="C39" s="53" t="s">
        <v>63</v>
      </c>
    </row>
    <row r="40" spans="1:11" x14ac:dyDescent="0.25">
      <c r="A40">
        <v>31</v>
      </c>
      <c r="B40" s="3">
        <v>103</v>
      </c>
      <c r="C40" s="34" t="s">
        <v>63</v>
      </c>
    </row>
    <row r="41" spans="1:11" x14ac:dyDescent="0.25">
      <c r="A41">
        <v>23</v>
      </c>
      <c r="B41" s="3">
        <v>64</v>
      </c>
      <c r="C41" s="34" t="s">
        <v>63</v>
      </c>
    </row>
    <row r="42" spans="1:11" x14ac:dyDescent="0.25">
      <c r="A42">
        <v>16</v>
      </c>
      <c r="B42" s="3">
        <v>87</v>
      </c>
      <c r="C42" s="58" t="s">
        <v>63</v>
      </c>
    </row>
    <row r="43" spans="1:11" x14ac:dyDescent="0.25">
      <c r="A43">
        <v>24</v>
      </c>
      <c r="B43" s="3">
        <v>73</v>
      </c>
      <c r="C43" s="63" t="s">
        <v>63</v>
      </c>
    </row>
    <row r="44" spans="1:11" x14ac:dyDescent="0.25">
      <c r="A44">
        <v>18</v>
      </c>
      <c r="B44" s="3">
        <v>98</v>
      </c>
      <c r="C44" s="34" t="s">
        <v>63</v>
      </c>
    </row>
    <row r="45" spans="1:11" x14ac:dyDescent="0.25">
      <c r="A45">
        <v>32</v>
      </c>
      <c r="B45" s="3">
        <v>88</v>
      </c>
      <c r="C45" s="34" t="s">
        <v>63</v>
      </c>
    </row>
    <row r="46" spans="1:11" x14ac:dyDescent="0.25">
      <c r="A46">
        <v>30</v>
      </c>
      <c r="B46" s="3">
        <v>105</v>
      </c>
      <c r="C46" s="65" t="s">
        <v>63</v>
      </c>
    </row>
    <row r="47" spans="1:11" x14ac:dyDescent="0.25">
      <c r="A47">
        <v>28</v>
      </c>
      <c r="B47" s="3">
        <v>77</v>
      </c>
      <c r="C47" s="69" t="s">
        <v>63</v>
      </c>
    </row>
    <row r="48" spans="1:11" x14ac:dyDescent="0.25">
      <c r="A48">
        <v>20</v>
      </c>
      <c r="B48" s="3">
        <v>82</v>
      </c>
      <c r="C48" s="34" t="s">
        <v>63</v>
      </c>
    </row>
    <row r="49" spans="1:3" x14ac:dyDescent="0.25">
      <c r="A49">
        <v>22</v>
      </c>
      <c r="B49" s="3">
        <v>100</v>
      </c>
      <c r="C49" s="34" t="s">
        <v>63</v>
      </c>
    </row>
    <row r="50" spans="1:3" x14ac:dyDescent="0.25">
      <c r="A50">
        <v>29</v>
      </c>
      <c r="B50" s="3">
        <v>82</v>
      </c>
      <c r="C50" s="34" t="s">
        <v>63</v>
      </c>
    </row>
    <row r="51" spans="1:3" x14ac:dyDescent="0.25">
      <c r="A51">
        <v>24</v>
      </c>
      <c r="B51" s="3">
        <v>77</v>
      </c>
      <c r="C51" s="34" t="s">
        <v>63</v>
      </c>
    </row>
    <row r="52" spans="1:3" x14ac:dyDescent="0.25">
      <c r="A52">
        <v>24</v>
      </c>
      <c r="B52" s="3">
        <v>83</v>
      </c>
      <c r="C52" s="34" t="s">
        <v>63</v>
      </c>
    </row>
    <row r="53" spans="1:3" x14ac:dyDescent="0.25">
      <c r="A53">
        <v>24</v>
      </c>
      <c r="B53" s="3">
        <v>71</v>
      </c>
      <c r="C53" s="34" t="s">
        <v>63</v>
      </c>
    </row>
    <row r="54" spans="1:3" x14ac:dyDescent="0.25">
      <c r="A54">
        <v>20</v>
      </c>
      <c r="B54" s="3">
        <v>86</v>
      </c>
      <c r="C54" s="34" t="s">
        <v>63</v>
      </c>
    </row>
    <row r="55" spans="1:3" x14ac:dyDescent="0.25">
      <c r="A55">
        <v>22</v>
      </c>
      <c r="B55" s="3">
        <v>77</v>
      </c>
      <c r="C55" s="70" t="s">
        <v>63</v>
      </c>
    </row>
    <row r="56" spans="1:3" x14ac:dyDescent="0.25">
      <c r="A56">
        <v>25</v>
      </c>
      <c r="B56" s="3">
        <v>86</v>
      </c>
      <c r="C56" s="73" t="s">
        <v>63</v>
      </c>
    </row>
    <row r="57" spans="1:3" x14ac:dyDescent="0.25">
      <c r="A57">
        <v>24</v>
      </c>
      <c r="B57" s="3">
        <v>87</v>
      </c>
      <c r="C57" s="73" t="s">
        <v>63</v>
      </c>
    </row>
    <row r="58" spans="1:3" x14ac:dyDescent="0.25">
      <c r="A58">
        <v>28</v>
      </c>
      <c r="B58" s="3">
        <v>83</v>
      </c>
      <c r="C58" s="74" t="s">
        <v>63</v>
      </c>
    </row>
    <row r="59" spans="1:3" x14ac:dyDescent="0.25">
      <c r="A59">
        <v>24</v>
      </c>
      <c r="B59" s="3">
        <v>75</v>
      </c>
      <c r="C59" s="74" t="s">
        <v>63</v>
      </c>
    </row>
    <row r="60" spans="1:3" x14ac:dyDescent="0.25">
      <c r="A60">
        <v>19</v>
      </c>
      <c r="B60" s="3">
        <v>81</v>
      </c>
      <c r="C60" s="34" t="s">
        <v>63</v>
      </c>
    </row>
    <row r="61" spans="1:3" x14ac:dyDescent="0.25">
      <c r="A61">
        <v>27</v>
      </c>
      <c r="B61" s="3">
        <v>92</v>
      </c>
      <c r="C61" s="34" t="s">
        <v>63</v>
      </c>
    </row>
    <row r="62" spans="1:3" x14ac:dyDescent="0.25">
      <c r="A62">
        <v>24</v>
      </c>
      <c r="B62" s="3">
        <v>78</v>
      </c>
      <c r="C62" s="34" t="s">
        <v>63</v>
      </c>
    </row>
    <row r="63" spans="1:3" x14ac:dyDescent="0.25">
      <c r="A63">
        <v>20</v>
      </c>
      <c r="B63" s="3">
        <v>90</v>
      </c>
      <c r="C63" s="34" t="s">
        <v>63</v>
      </c>
    </row>
    <row r="64" spans="1:3" x14ac:dyDescent="0.25">
      <c r="A64">
        <v>28</v>
      </c>
      <c r="B64" s="3">
        <v>85</v>
      </c>
      <c r="C64" s="34" t="s">
        <v>63</v>
      </c>
    </row>
    <row r="65" spans="1:3" x14ac:dyDescent="0.25">
      <c r="A65">
        <v>27</v>
      </c>
      <c r="B65" s="3">
        <v>99</v>
      </c>
      <c r="C65" s="34" t="s">
        <v>63</v>
      </c>
    </row>
    <row r="66" spans="1:3" x14ac:dyDescent="0.25">
      <c r="A66">
        <v>32</v>
      </c>
      <c r="B66" s="3">
        <v>91</v>
      </c>
      <c r="C66" s="34" t="s">
        <v>63</v>
      </c>
    </row>
    <row r="67" spans="1:3" x14ac:dyDescent="0.25">
      <c r="A67">
        <v>25</v>
      </c>
      <c r="B67" s="3">
        <v>84</v>
      </c>
      <c r="C67" s="34" t="s">
        <v>63</v>
      </c>
    </row>
    <row r="68" spans="1:3" x14ac:dyDescent="0.25">
      <c r="A68">
        <v>27</v>
      </c>
      <c r="B68" s="3">
        <v>87</v>
      </c>
      <c r="C68" s="34" t="s">
        <v>63</v>
      </c>
    </row>
    <row r="69" spans="1:3" x14ac:dyDescent="0.25">
      <c r="A69">
        <v>24</v>
      </c>
      <c r="C69" s="34" t="s">
        <v>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K38" sqref="K38"/>
    </sheetView>
  </sheetViews>
  <sheetFormatPr defaultRowHeight="15" x14ac:dyDescent="0.25"/>
  <cols>
    <col min="1" max="2" width="8.7109375" customWidth="1"/>
    <col min="3" max="3" width="11.28515625" customWidth="1"/>
    <col min="4" max="4" width="8.5703125" customWidth="1"/>
    <col min="5" max="5" width="15.28515625" customWidth="1"/>
    <col min="6" max="6" width="16.5703125" customWidth="1"/>
    <col min="7" max="7" width="15.28515625" customWidth="1"/>
    <col min="8" max="8" width="10.42578125" customWidth="1"/>
    <col min="9" max="1025" width="8.7109375" customWidth="1"/>
  </cols>
  <sheetData>
    <row r="1" spans="1:9" x14ac:dyDescent="0.25">
      <c r="A1" t="s">
        <v>108</v>
      </c>
      <c r="B1" s="77" t="s">
        <v>47</v>
      </c>
      <c r="C1" s="57" t="s">
        <v>66</v>
      </c>
      <c r="D1" s="33" t="s">
        <v>47</v>
      </c>
      <c r="E1" s="49" t="s">
        <v>109</v>
      </c>
      <c r="F1" s="49" t="s">
        <v>68</v>
      </c>
      <c r="G1" s="49" t="s">
        <v>69</v>
      </c>
      <c r="H1" s="49"/>
    </row>
    <row r="2" spans="1:9" x14ac:dyDescent="0.25">
      <c r="A2" t="s">
        <v>110</v>
      </c>
      <c r="B2">
        <v>5.9</v>
      </c>
      <c r="C2" t="s">
        <v>62</v>
      </c>
      <c r="D2">
        <v>5.9</v>
      </c>
      <c r="E2" s="49" t="s">
        <v>111</v>
      </c>
      <c r="F2" s="49">
        <f>COUNTIFS($B$2:$B$70,"&gt;=4.0",B2:$B$70,"&lt;=5.6")</f>
        <v>36</v>
      </c>
      <c r="G2" s="50">
        <f>F2/69*100</f>
        <v>52.173913043478258</v>
      </c>
      <c r="H2" s="49" t="s">
        <v>112</v>
      </c>
    </row>
    <row r="3" spans="1:9" x14ac:dyDescent="0.25">
      <c r="A3" t="s">
        <v>110</v>
      </c>
      <c r="B3">
        <v>6</v>
      </c>
      <c r="C3" t="s">
        <v>62</v>
      </c>
      <c r="D3">
        <v>6</v>
      </c>
      <c r="E3" s="49" t="s">
        <v>113</v>
      </c>
      <c r="F3" s="49">
        <f>COUNTIFS($B$2:$B$70,"&gt;=5.7",B2:$B$70,"&lt;=6.4")</f>
        <v>31</v>
      </c>
      <c r="G3" s="50">
        <f>F3/69*100</f>
        <v>44.927536231884055</v>
      </c>
      <c r="H3" s="49" t="s">
        <v>114</v>
      </c>
    </row>
    <row r="4" spans="1:9" x14ac:dyDescent="0.25">
      <c r="A4" t="s">
        <v>115</v>
      </c>
      <c r="B4">
        <v>5.6</v>
      </c>
      <c r="C4" t="s">
        <v>62</v>
      </c>
      <c r="D4">
        <v>5.6</v>
      </c>
      <c r="E4" s="49" t="s">
        <v>116</v>
      </c>
      <c r="F4" s="49">
        <f>COUNTIFS($B$2:$B$70,"&gt;=6.5")</f>
        <v>2</v>
      </c>
      <c r="G4" s="50">
        <f>F4/69*100</f>
        <v>2.8985507246376812</v>
      </c>
      <c r="H4" s="49" t="s">
        <v>117</v>
      </c>
    </row>
    <row r="5" spans="1:9" x14ac:dyDescent="0.25">
      <c r="A5" t="s">
        <v>115</v>
      </c>
      <c r="B5">
        <v>5.6</v>
      </c>
      <c r="C5" t="s">
        <v>62</v>
      </c>
      <c r="D5">
        <v>5.6</v>
      </c>
    </row>
    <row r="6" spans="1:9" x14ac:dyDescent="0.25">
      <c r="A6" t="s">
        <v>115</v>
      </c>
      <c r="B6">
        <v>5.6</v>
      </c>
      <c r="C6" t="s">
        <v>62</v>
      </c>
      <c r="D6">
        <v>5.8</v>
      </c>
      <c r="E6" s="49" t="s">
        <v>64</v>
      </c>
      <c r="F6" s="49" t="s">
        <v>111</v>
      </c>
      <c r="G6" s="49" t="s">
        <v>113</v>
      </c>
      <c r="H6" s="49" t="s">
        <v>116</v>
      </c>
      <c r="I6" s="49"/>
    </row>
    <row r="7" spans="1:9" x14ac:dyDescent="0.25">
      <c r="A7" t="s">
        <v>110</v>
      </c>
      <c r="B7">
        <v>5.7</v>
      </c>
      <c r="C7" t="s">
        <v>62</v>
      </c>
      <c r="D7">
        <v>5.6</v>
      </c>
      <c r="E7" s="49" t="s">
        <v>76</v>
      </c>
      <c r="F7" s="49">
        <f>COUNTIFS($D$2:$D$33,"&gt;=4.0",$D$2:$D$33,"&lt;=5.6")</f>
        <v>15</v>
      </c>
      <c r="G7" s="49">
        <f>COUNTIFS($D$2:$D$33,"&gt;=5.7",$D$2:$D$33,"&lt;=6.4")</f>
        <v>17</v>
      </c>
      <c r="H7" s="49">
        <f>COUNTIFS($D$2:$D$33,"&gt;=6.5")</f>
        <v>0</v>
      </c>
      <c r="I7" s="49">
        <f>SUM(F7:H7)</f>
        <v>32</v>
      </c>
    </row>
    <row r="8" spans="1:9" x14ac:dyDescent="0.25">
      <c r="A8" t="s">
        <v>115</v>
      </c>
      <c r="B8">
        <v>5.2</v>
      </c>
      <c r="C8" t="s">
        <v>62</v>
      </c>
      <c r="D8">
        <v>5.6</v>
      </c>
      <c r="E8" s="49" t="s">
        <v>77</v>
      </c>
      <c r="F8" s="49">
        <f>COUNTIFS($D$34:$D$70,"&gt;=4.0",$D$34:$D$70,"&lt;=5.6")</f>
        <v>21</v>
      </c>
      <c r="G8" s="49">
        <f>COUNTIFS($D$34:$D$70,"&gt;=5.7",$D$34:$D$70,"&lt;=6.4")</f>
        <v>14</v>
      </c>
      <c r="H8" s="49">
        <f>COUNTIFS($D$34:$D$70,"&gt;=6.5")</f>
        <v>2</v>
      </c>
      <c r="I8" s="49">
        <f>SUM(F8:H8)</f>
        <v>37</v>
      </c>
    </row>
    <row r="9" spans="1:9" x14ac:dyDescent="0.25">
      <c r="A9" t="s">
        <v>115</v>
      </c>
      <c r="B9">
        <v>5.5</v>
      </c>
      <c r="C9" t="s">
        <v>62</v>
      </c>
      <c r="D9">
        <v>5.8</v>
      </c>
      <c r="F9" t="s">
        <v>76</v>
      </c>
      <c r="G9" t="s">
        <v>77</v>
      </c>
    </row>
    <row r="10" spans="1:9" x14ac:dyDescent="0.25">
      <c r="A10" t="s">
        <v>115</v>
      </c>
      <c r="B10">
        <v>5.3</v>
      </c>
      <c r="C10" t="s">
        <v>62</v>
      </c>
      <c r="D10">
        <v>5.7</v>
      </c>
      <c r="E10" s="49" t="s">
        <v>111</v>
      </c>
      <c r="F10" s="50">
        <f>F7/32*100</f>
        <v>46.875</v>
      </c>
      <c r="G10" s="50">
        <f>21/37*100</f>
        <v>56.756756756756758</v>
      </c>
    </row>
    <row r="11" spans="1:9" x14ac:dyDescent="0.25">
      <c r="A11" t="s">
        <v>115</v>
      </c>
      <c r="B11">
        <v>5.6</v>
      </c>
      <c r="C11" t="s">
        <v>62</v>
      </c>
      <c r="D11">
        <v>6</v>
      </c>
      <c r="E11" s="49" t="s">
        <v>113</v>
      </c>
      <c r="F11" s="50">
        <f>17/32*100</f>
        <v>53.125</v>
      </c>
      <c r="G11" s="50">
        <f>14/37*100</f>
        <v>37.837837837837839</v>
      </c>
    </row>
    <row r="12" spans="1:9" x14ac:dyDescent="0.25">
      <c r="A12" t="s">
        <v>110</v>
      </c>
      <c r="B12">
        <v>5.7</v>
      </c>
      <c r="C12" t="s">
        <v>62</v>
      </c>
      <c r="D12">
        <v>5.0999999999999996</v>
      </c>
      <c r="E12" s="49" t="s">
        <v>116</v>
      </c>
      <c r="F12" s="50">
        <v>0</v>
      </c>
      <c r="G12" s="50">
        <f>2/37*100</f>
        <v>5.4054054054054053</v>
      </c>
    </row>
    <row r="13" spans="1:9" x14ac:dyDescent="0.25">
      <c r="A13" t="s">
        <v>115</v>
      </c>
      <c r="B13">
        <v>5.4</v>
      </c>
      <c r="C13" t="s">
        <v>62</v>
      </c>
      <c r="D13">
        <v>5.4</v>
      </c>
      <c r="E13" s="49" t="s">
        <v>118</v>
      </c>
      <c r="F13" s="50">
        <f>100-F14</f>
        <v>78</v>
      </c>
      <c r="G13" s="50">
        <f>100-G14</f>
        <v>89.189189189189193</v>
      </c>
    </row>
    <row r="14" spans="1:9" x14ac:dyDescent="0.25">
      <c r="A14" t="s">
        <v>110</v>
      </c>
      <c r="B14">
        <v>5.8</v>
      </c>
      <c r="C14" t="s">
        <v>62</v>
      </c>
      <c r="D14">
        <v>5.7</v>
      </c>
      <c r="E14" s="49" t="s">
        <v>119</v>
      </c>
      <c r="F14" s="50">
        <v>22</v>
      </c>
      <c r="G14" s="50">
        <f>4/37*100</f>
        <v>10.810810810810811</v>
      </c>
    </row>
    <row r="15" spans="1:9" x14ac:dyDescent="0.25">
      <c r="A15" t="s">
        <v>115</v>
      </c>
      <c r="B15">
        <v>5.6</v>
      </c>
      <c r="C15" t="s">
        <v>62</v>
      </c>
      <c r="D15">
        <v>5.6</v>
      </c>
    </row>
    <row r="16" spans="1:9" x14ac:dyDescent="0.25">
      <c r="A16" t="s">
        <v>110</v>
      </c>
      <c r="B16">
        <v>5.8</v>
      </c>
      <c r="C16" t="s">
        <v>62</v>
      </c>
      <c r="D16">
        <v>6</v>
      </c>
    </row>
    <row r="17" spans="1:4" x14ac:dyDescent="0.25">
      <c r="A17" t="s">
        <v>115</v>
      </c>
      <c r="B17">
        <v>5.6</v>
      </c>
      <c r="C17" t="s">
        <v>62</v>
      </c>
      <c r="D17">
        <v>5.6</v>
      </c>
    </row>
    <row r="18" spans="1:4" x14ac:dyDescent="0.25">
      <c r="A18" t="s">
        <v>115</v>
      </c>
      <c r="B18">
        <v>5.2</v>
      </c>
      <c r="C18" t="s">
        <v>62</v>
      </c>
      <c r="D18">
        <v>5.8</v>
      </c>
    </row>
    <row r="19" spans="1:4" x14ac:dyDescent="0.25">
      <c r="A19" t="s">
        <v>115</v>
      </c>
      <c r="B19">
        <v>5.5</v>
      </c>
      <c r="C19" t="s">
        <v>62</v>
      </c>
      <c r="D19">
        <v>5.3</v>
      </c>
    </row>
    <row r="20" spans="1:4" x14ac:dyDescent="0.25">
      <c r="A20" t="s">
        <v>115</v>
      </c>
      <c r="B20">
        <v>5</v>
      </c>
      <c r="C20" t="s">
        <v>62</v>
      </c>
      <c r="D20">
        <v>6</v>
      </c>
    </row>
    <row r="21" spans="1:4" x14ac:dyDescent="0.25">
      <c r="A21" t="s">
        <v>110</v>
      </c>
      <c r="B21">
        <v>5.8</v>
      </c>
      <c r="C21" t="s">
        <v>62</v>
      </c>
      <c r="D21">
        <v>5.5</v>
      </c>
    </row>
    <row r="22" spans="1:4" x14ac:dyDescent="0.25">
      <c r="A22" t="s">
        <v>110</v>
      </c>
      <c r="B22">
        <v>5.7</v>
      </c>
      <c r="C22" t="s">
        <v>62</v>
      </c>
      <c r="D22">
        <v>5.5</v>
      </c>
    </row>
    <row r="23" spans="1:4" x14ac:dyDescent="0.25">
      <c r="A23" t="s">
        <v>110</v>
      </c>
      <c r="B23">
        <v>6</v>
      </c>
      <c r="C23" t="s">
        <v>62</v>
      </c>
      <c r="D23">
        <v>5.5</v>
      </c>
    </row>
    <row r="24" spans="1:4" x14ac:dyDescent="0.25">
      <c r="A24" t="s">
        <v>115</v>
      </c>
      <c r="B24">
        <v>5.0999999999999996</v>
      </c>
      <c r="C24" t="s">
        <v>62</v>
      </c>
      <c r="D24">
        <v>5.9</v>
      </c>
    </row>
    <row r="25" spans="1:4" x14ac:dyDescent="0.25">
      <c r="A25" t="s">
        <v>115</v>
      </c>
      <c r="B25">
        <v>5.6</v>
      </c>
      <c r="C25" t="s">
        <v>62</v>
      </c>
      <c r="D25">
        <v>5.7</v>
      </c>
    </row>
    <row r="26" spans="1:4" x14ac:dyDescent="0.25">
      <c r="A26" t="s">
        <v>115</v>
      </c>
      <c r="B26">
        <v>5.4</v>
      </c>
      <c r="C26" t="s">
        <v>62</v>
      </c>
      <c r="D26">
        <v>5.4</v>
      </c>
    </row>
    <row r="27" spans="1:4" x14ac:dyDescent="0.25">
      <c r="A27" t="s">
        <v>110</v>
      </c>
      <c r="B27">
        <v>5.7</v>
      </c>
      <c r="C27" t="s">
        <v>62</v>
      </c>
      <c r="D27">
        <v>6.1</v>
      </c>
    </row>
    <row r="28" spans="1:4" x14ac:dyDescent="0.25">
      <c r="A28" t="s">
        <v>115</v>
      </c>
      <c r="B28">
        <v>5.6</v>
      </c>
      <c r="C28" t="s">
        <v>62</v>
      </c>
      <c r="D28">
        <v>5.6</v>
      </c>
    </row>
    <row r="29" spans="1:4" x14ac:dyDescent="0.25">
      <c r="A29" t="s">
        <v>115</v>
      </c>
      <c r="B29">
        <v>5.6</v>
      </c>
      <c r="C29" t="s">
        <v>62</v>
      </c>
      <c r="D29">
        <v>5.5</v>
      </c>
    </row>
    <row r="30" spans="1:4" x14ac:dyDescent="0.25">
      <c r="A30" t="s">
        <v>110</v>
      </c>
      <c r="B30">
        <v>6</v>
      </c>
      <c r="C30" t="s">
        <v>62</v>
      </c>
      <c r="D30">
        <v>5.9</v>
      </c>
    </row>
    <row r="31" spans="1:4" x14ac:dyDescent="0.25">
      <c r="A31" t="s">
        <v>110</v>
      </c>
      <c r="B31">
        <v>6</v>
      </c>
      <c r="C31" t="s">
        <v>62</v>
      </c>
      <c r="D31">
        <v>5.9</v>
      </c>
    </row>
    <row r="32" spans="1:4" x14ac:dyDescent="0.25">
      <c r="A32" t="s">
        <v>115</v>
      </c>
      <c r="B32">
        <v>5.6</v>
      </c>
      <c r="C32" t="s">
        <v>62</v>
      </c>
      <c r="D32">
        <v>5.8</v>
      </c>
    </row>
    <row r="33" spans="1:4" x14ac:dyDescent="0.25">
      <c r="A33" t="s">
        <v>110</v>
      </c>
      <c r="B33">
        <v>5.8</v>
      </c>
      <c r="C33" t="s">
        <v>62</v>
      </c>
      <c r="D33">
        <v>6</v>
      </c>
    </row>
    <row r="34" spans="1:4" x14ac:dyDescent="0.25">
      <c r="A34" t="s">
        <v>110</v>
      </c>
      <c r="B34">
        <v>5.9</v>
      </c>
      <c r="C34" t="s">
        <v>63</v>
      </c>
      <c r="D34">
        <v>5.6</v>
      </c>
    </row>
    <row r="35" spans="1:4" x14ac:dyDescent="0.25">
      <c r="A35" t="s">
        <v>110</v>
      </c>
      <c r="B35">
        <v>5.7</v>
      </c>
      <c r="C35" t="s">
        <v>63</v>
      </c>
      <c r="D35">
        <v>5.6</v>
      </c>
    </row>
    <row r="36" spans="1:4" x14ac:dyDescent="0.25">
      <c r="A36" t="s">
        <v>115</v>
      </c>
      <c r="B36">
        <v>5.6</v>
      </c>
      <c r="C36" t="s">
        <v>63</v>
      </c>
      <c r="D36">
        <v>5.7</v>
      </c>
    </row>
    <row r="37" spans="1:4" x14ac:dyDescent="0.25">
      <c r="A37" t="s">
        <v>115</v>
      </c>
      <c r="B37">
        <v>5</v>
      </c>
      <c r="C37" t="s">
        <v>63</v>
      </c>
      <c r="D37">
        <v>5.2</v>
      </c>
    </row>
    <row r="38" spans="1:4" x14ac:dyDescent="0.25">
      <c r="A38" t="s">
        <v>115</v>
      </c>
      <c r="B38">
        <v>5.4</v>
      </c>
      <c r="C38" t="s">
        <v>63</v>
      </c>
      <c r="D38">
        <v>5.5</v>
      </c>
    </row>
    <row r="39" spans="1:4" x14ac:dyDescent="0.25">
      <c r="A39" t="s">
        <v>115</v>
      </c>
      <c r="B39">
        <v>5.3</v>
      </c>
      <c r="C39" t="s">
        <v>63</v>
      </c>
      <c r="D39">
        <v>5.3</v>
      </c>
    </row>
    <row r="40" spans="1:4" x14ac:dyDescent="0.25">
      <c r="A40" t="s">
        <v>115</v>
      </c>
      <c r="B40">
        <v>5.3</v>
      </c>
      <c r="C40" t="s">
        <v>63</v>
      </c>
      <c r="D40">
        <v>5.7</v>
      </c>
    </row>
    <row r="41" spans="1:4" x14ac:dyDescent="0.25">
      <c r="A41" t="s">
        <v>110</v>
      </c>
      <c r="B41">
        <v>5.9</v>
      </c>
      <c r="C41" t="s">
        <v>63</v>
      </c>
      <c r="D41">
        <v>5.4</v>
      </c>
    </row>
    <row r="42" spans="1:4" x14ac:dyDescent="0.25">
      <c r="A42" t="s">
        <v>110</v>
      </c>
      <c r="B42">
        <v>6</v>
      </c>
      <c r="C42" t="s">
        <v>63</v>
      </c>
      <c r="D42">
        <v>5.8</v>
      </c>
    </row>
    <row r="43" spans="1:4" x14ac:dyDescent="0.25">
      <c r="A43" t="s">
        <v>110</v>
      </c>
      <c r="B43">
        <v>6</v>
      </c>
      <c r="C43" t="s">
        <v>63</v>
      </c>
      <c r="D43">
        <v>5.2</v>
      </c>
    </row>
    <row r="44" spans="1:4" x14ac:dyDescent="0.25">
      <c r="A44" t="s">
        <v>115</v>
      </c>
      <c r="B44">
        <v>5.5</v>
      </c>
      <c r="C44" t="s">
        <v>63</v>
      </c>
      <c r="D44">
        <v>5.5</v>
      </c>
    </row>
    <row r="45" spans="1:4" x14ac:dyDescent="0.25">
      <c r="A45" t="s">
        <v>115</v>
      </c>
      <c r="B45">
        <v>5.5</v>
      </c>
      <c r="C45" t="s">
        <v>63</v>
      </c>
      <c r="D45">
        <v>5</v>
      </c>
    </row>
    <row r="46" spans="1:4" x14ac:dyDescent="0.25">
      <c r="A46" t="s">
        <v>115</v>
      </c>
      <c r="B46">
        <v>5.5</v>
      </c>
      <c r="C46" t="s">
        <v>63</v>
      </c>
      <c r="D46">
        <v>5.6</v>
      </c>
    </row>
    <row r="47" spans="1:4" x14ac:dyDescent="0.25">
      <c r="A47" t="s">
        <v>110</v>
      </c>
      <c r="B47">
        <v>5.9</v>
      </c>
      <c r="C47" t="s">
        <v>63</v>
      </c>
      <c r="D47">
        <v>5.6</v>
      </c>
    </row>
    <row r="48" spans="1:4" x14ac:dyDescent="0.25">
      <c r="A48" t="s">
        <v>110</v>
      </c>
      <c r="B48">
        <v>5.7</v>
      </c>
      <c r="C48" t="s">
        <v>63</v>
      </c>
      <c r="D48">
        <v>6</v>
      </c>
    </row>
    <row r="49" spans="1:4" x14ac:dyDescent="0.25">
      <c r="A49" t="s">
        <v>115</v>
      </c>
      <c r="B49">
        <v>5.5</v>
      </c>
      <c r="C49" t="s">
        <v>63</v>
      </c>
      <c r="D49">
        <v>5.9</v>
      </c>
    </row>
    <row r="50" spans="1:4" x14ac:dyDescent="0.25">
      <c r="A50" t="s">
        <v>120</v>
      </c>
      <c r="B50">
        <v>14.5</v>
      </c>
      <c r="C50" t="s">
        <v>63</v>
      </c>
      <c r="D50">
        <v>5.7</v>
      </c>
    </row>
    <row r="51" spans="1:4" x14ac:dyDescent="0.25">
      <c r="A51" t="s">
        <v>110</v>
      </c>
      <c r="B51">
        <v>6.1</v>
      </c>
      <c r="C51" t="s">
        <v>63</v>
      </c>
      <c r="D51">
        <v>5.6</v>
      </c>
    </row>
    <row r="52" spans="1:4" x14ac:dyDescent="0.25">
      <c r="A52" t="s">
        <v>115</v>
      </c>
      <c r="B52">
        <v>5.4</v>
      </c>
      <c r="C52" t="s">
        <v>63</v>
      </c>
      <c r="D52">
        <v>5</v>
      </c>
    </row>
    <row r="53" spans="1:4" x14ac:dyDescent="0.25">
      <c r="A53" t="s">
        <v>110</v>
      </c>
      <c r="B53">
        <v>5.9</v>
      </c>
      <c r="C53" t="s">
        <v>63</v>
      </c>
      <c r="D53">
        <v>5.4</v>
      </c>
    </row>
    <row r="54" spans="1:4" x14ac:dyDescent="0.25">
      <c r="A54" t="s">
        <v>120</v>
      </c>
      <c r="B54">
        <v>10.5</v>
      </c>
      <c r="C54" t="s">
        <v>63</v>
      </c>
      <c r="D54">
        <v>5.3</v>
      </c>
    </row>
    <row r="55" spans="1:4" x14ac:dyDescent="0.25">
      <c r="A55" t="s">
        <v>115</v>
      </c>
      <c r="B55">
        <v>5.2</v>
      </c>
      <c r="C55" t="s">
        <v>63</v>
      </c>
      <c r="D55">
        <v>5.9</v>
      </c>
    </row>
    <row r="56" spans="1:4" x14ac:dyDescent="0.25">
      <c r="A56" t="s">
        <v>110</v>
      </c>
      <c r="B56">
        <v>6.1</v>
      </c>
      <c r="C56" t="s">
        <v>63</v>
      </c>
      <c r="D56">
        <v>6</v>
      </c>
    </row>
    <row r="57" spans="1:4" x14ac:dyDescent="0.25">
      <c r="A57" t="s">
        <v>110</v>
      </c>
      <c r="B57">
        <v>5.9</v>
      </c>
      <c r="C57" t="s">
        <v>63</v>
      </c>
      <c r="D57">
        <v>5.5</v>
      </c>
    </row>
    <row r="58" spans="1:4" x14ac:dyDescent="0.25">
      <c r="A58" t="s">
        <v>115</v>
      </c>
      <c r="B58">
        <v>5.2</v>
      </c>
      <c r="C58" t="s">
        <v>63</v>
      </c>
      <c r="D58">
        <v>14.5</v>
      </c>
    </row>
    <row r="59" spans="1:4" x14ac:dyDescent="0.25">
      <c r="A59" t="s">
        <v>115</v>
      </c>
      <c r="B59">
        <v>5.6</v>
      </c>
      <c r="C59" t="s">
        <v>63</v>
      </c>
      <c r="D59">
        <v>6.1</v>
      </c>
    </row>
    <row r="60" spans="1:4" x14ac:dyDescent="0.25">
      <c r="A60" t="s">
        <v>115</v>
      </c>
      <c r="B60">
        <v>5.6</v>
      </c>
      <c r="C60" t="s">
        <v>63</v>
      </c>
      <c r="D60">
        <v>5.9</v>
      </c>
    </row>
    <row r="61" spans="1:4" x14ac:dyDescent="0.25">
      <c r="A61" t="s">
        <v>110</v>
      </c>
      <c r="B61">
        <v>6.2</v>
      </c>
      <c r="C61" t="s">
        <v>63</v>
      </c>
      <c r="D61">
        <v>10.5</v>
      </c>
    </row>
    <row r="62" spans="1:4" x14ac:dyDescent="0.25">
      <c r="A62" t="s">
        <v>115</v>
      </c>
      <c r="B62">
        <v>5.5</v>
      </c>
      <c r="C62" t="s">
        <v>63</v>
      </c>
      <c r="D62">
        <v>5.2</v>
      </c>
    </row>
    <row r="63" spans="1:4" x14ac:dyDescent="0.25">
      <c r="A63" t="s">
        <v>115</v>
      </c>
      <c r="B63">
        <v>5.3</v>
      </c>
      <c r="C63" t="s">
        <v>63</v>
      </c>
      <c r="D63">
        <v>5.9</v>
      </c>
    </row>
    <row r="64" spans="1:4" x14ac:dyDescent="0.25">
      <c r="A64" t="s">
        <v>110</v>
      </c>
      <c r="B64">
        <v>6</v>
      </c>
      <c r="C64" t="s">
        <v>63</v>
      </c>
      <c r="D64">
        <v>5.2</v>
      </c>
    </row>
    <row r="65" spans="1:4" x14ac:dyDescent="0.25">
      <c r="A65" t="s">
        <v>115</v>
      </c>
      <c r="B65">
        <v>5.6</v>
      </c>
      <c r="C65" t="s">
        <v>63</v>
      </c>
      <c r="D65">
        <v>5.6</v>
      </c>
    </row>
    <row r="66" spans="1:4" x14ac:dyDescent="0.25">
      <c r="A66" t="s">
        <v>110</v>
      </c>
      <c r="B66">
        <v>5.9</v>
      </c>
      <c r="C66" t="s">
        <v>63</v>
      </c>
      <c r="D66">
        <v>6.2</v>
      </c>
    </row>
    <row r="67" spans="1:4" x14ac:dyDescent="0.25">
      <c r="A67" t="s">
        <v>110</v>
      </c>
      <c r="B67">
        <v>5.9</v>
      </c>
      <c r="C67" t="s">
        <v>63</v>
      </c>
      <c r="D67">
        <v>5.3</v>
      </c>
    </row>
    <row r="68" spans="1:4" x14ac:dyDescent="0.25">
      <c r="A68" t="s">
        <v>110</v>
      </c>
      <c r="B68">
        <v>5.9</v>
      </c>
      <c r="C68" t="s">
        <v>63</v>
      </c>
      <c r="D68">
        <v>6</v>
      </c>
    </row>
    <row r="69" spans="1:4" x14ac:dyDescent="0.25">
      <c r="A69" t="s">
        <v>110</v>
      </c>
      <c r="B69">
        <v>5.8</v>
      </c>
      <c r="C69" t="s">
        <v>63</v>
      </c>
      <c r="D69">
        <v>5.6</v>
      </c>
    </row>
    <row r="70" spans="1:4" x14ac:dyDescent="0.25">
      <c r="A70" t="s">
        <v>110</v>
      </c>
      <c r="B70">
        <v>6</v>
      </c>
      <c r="C70" t="s">
        <v>63</v>
      </c>
      <c r="D70">
        <v>5.9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"/>
  <sheetViews>
    <sheetView workbookViewId="0">
      <selection activeCell="A15" sqref="A15"/>
    </sheetView>
  </sheetViews>
  <sheetFormatPr defaultRowHeight="15" x14ac:dyDescent="0.25"/>
  <cols>
    <col min="1" max="1" width="11.28515625" style="3" bestFit="1" customWidth="1"/>
    <col min="2" max="2" width="7.28515625" style="3" bestFit="1" customWidth="1"/>
    <col min="3" max="3" width="7.140625" style="3" bestFit="1" customWidth="1"/>
    <col min="4" max="4" width="12.7109375" style="3" bestFit="1" customWidth="1"/>
    <col min="5" max="5" width="16.5703125" bestFit="1" customWidth="1"/>
    <col min="6" max="6" width="14" bestFit="1" customWidth="1"/>
    <col min="7" max="7" width="11.85546875" bestFit="1" customWidth="1"/>
  </cols>
  <sheetData>
    <row r="1" spans="1:16" x14ac:dyDescent="0.25">
      <c r="A1" s="1" t="s">
        <v>1</v>
      </c>
      <c r="B1" s="18" t="s">
        <v>121</v>
      </c>
      <c r="C1" s="18" t="s">
        <v>122</v>
      </c>
      <c r="D1" s="18" t="s">
        <v>86</v>
      </c>
      <c r="E1" s="78" t="s">
        <v>86</v>
      </c>
      <c r="F1" s="78" t="s">
        <v>123</v>
      </c>
      <c r="G1" s="78" t="s">
        <v>124</v>
      </c>
      <c r="H1" s="78" t="s">
        <v>125</v>
      </c>
      <c r="I1" s="78" t="s">
        <v>69</v>
      </c>
      <c r="J1" s="78" t="s">
        <v>126</v>
      </c>
      <c r="K1" s="78" t="s">
        <v>69</v>
      </c>
      <c r="L1" s="78" t="s">
        <v>127</v>
      </c>
      <c r="M1" s="78" t="s">
        <v>69</v>
      </c>
    </row>
    <row r="2" spans="1:16" x14ac:dyDescent="0.25">
      <c r="A2" s="2" t="s">
        <v>62</v>
      </c>
      <c r="B2" s="3">
        <v>179</v>
      </c>
      <c r="C2" s="3">
        <v>110.5</v>
      </c>
      <c r="D2" s="3">
        <v>2</v>
      </c>
      <c r="E2" s="49" t="s">
        <v>128</v>
      </c>
      <c r="F2" s="49" t="s">
        <v>129</v>
      </c>
      <c r="G2" s="49" t="s">
        <v>130</v>
      </c>
      <c r="H2" s="49">
        <f>COUNTIFS($D$2:$D$33,"Normo")</f>
        <v>7</v>
      </c>
      <c r="I2" s="50">
        <f>H2/32*100</f>
        <v>21.875</v>
      </c>
      <c r="J2" s="49">
        <f>COUNTIFS($D$34:$D$70,"Normo")</f>
        <v>7</v>
      </c>
      <c r="K2" s="50">
        <f>J2/37*100</f>
        <v>18.918918918918919</v>
      </c>
      <c r="L2" s="49">
        <v>14</v>
      </c>
      <c r="M2" s="50">
        <f>L2/69*100</f>
        <v>20.289855072463769</v>
      </c>
    </row>
    <row r="3" spans="1:16" x14ac:dyDescent="0.25">
      <c r="A3" s="3" t="s">
        <v>62</v>
      </c>
      <c r="B3" s="3">
        <v>145</v>
      </c>
      <c r="C3" s="3">
        <v>91.5</v>
      </c>
      <c r="D3" s="3">
        <v>1</v>
      </c>
      <c r="E3" s="49" t="s">
        <v>131</v>
      </c>
      <c r="F3" s="49" t="s">
        <v>132</v>
      </c>
      <c r="G3" s="49" t="s">
        <v>133</v>
      </c>
      <c r="H3" s="49">
        <f>COUNTIFS($D$2:$D$33,"Pre-hype")</f>
        <v>14</v>
      </c>
      <c r="I3" s="50">
        <f t="shared" ref="I3:I6" si="0">H3/32*100</f>
        <v>43.75</v>
      </c>
      <c r="J3" s="49">
        <f>COUNTIFS($D$34:$D$70,"Pre-hype")</f>
        <v>24</v>
      </c>
      <c r="K3" s="50">
        <f t="shared" ref="K3:K5" si="1">J3/37*100</f>
        <v>64.86486486486487</v>
      </c>
      <c r="L3" s="49">
        <v>39</v>
      </c>
      <c r="M3" s="50">
        <f t="shared" ref="M3:M6" si="2">L3/69*100</f>
        <v>56.521739130434781</v>
      </c>
    </row>
    <row r="4" spans="1:16" x14ac:dyDescent="0.25">
      <c r="A4" s="4" t="s">
        <v>62</v>
      </c>
      <c r="B4" s="4">
        <v>124</v>
      </c>
      <c r="C4" s="4">
        <v>75.5</v>
      </c>
      <c r="D4" s="4" t="s">
        <v>134</v>
      </c>
      <c r="E4" s="49" t="s">
        <v>135</v>
      </c>
      <c r="F4" s="49" t="s">
        <v>136</v>
      </c>
      <c r="G4" s="49" t="s">
        <v>137</v>
      </c>
      <c r="H4" s="49">
        <f>COUNTIFS($D$2:$D$33,"1")</f>
        <v>9</v>
      </c>
      <c r="I4" s="50">
        <f t="shared" si="0"/>
        <v>28.125</v>
      </c>
      <c r="J4" s="49">
        <f>COUNTIFS($D$34:$D$70,"1")</f>
        <v>3</v>
      </c>
      <c r="K4" s="50">
        <f t="shared" si="1"/>
        <v>8.1081081081081088</v>
      </c>
      <c r="L4" s="49">
        <v>12</v>
      </c>
      <c r="M4" s="50">
        <f t="shared" si="2"/>
        <v>17.391304347826086</v>
      </c>
      <c r="P4">
        <f>[1]BP!J2:J5+[1]BP!J2:J5+[1]BP!N9</f>
        <v>6</v>
      </c>
    </row>
    <row r="5" spans="1:16" x14ac:dyDescent="0.25">
      <c r="A5" s="8" t="s">
        <v>62</v>
      </c>
      <c r="B5" s="8">
        <v>118.5</v>
      </c>
      <c r="C5" s="8">
        <v>81</v>
      </c>
      <c r="D5" s="8" t="s">
        <v>134</v>
      </c>
      <c r="E5" s="49" t="s">
        <v>138</v>
      </c>
      <c r="F5" s="49" t="s">
        <v>139</v>
      </c>
      <c r="G5" s="49" t="s">
        <v>140</v>
      </c>
      <c r="H5" s="49">
        <f>COUNTIFS($D$2:$D$33,"2")</f>
        <v>2</v>
      </c>
      <c r="I5" s="50">
        <f t="shared" si="0"/>
        <v>6.25</v>
      </c>
      <c r="J5" s="49">
        <f>COUNTIFS($D$34:$D$70,"2")</f>
        <v>3</v>
      </c>
      <c r="K5" s="50">
        <f t="shared" si="1"/>
        <v>8.1081081081081088</v>
      </c>
      <c r="L5" s="49">
        <v>4</v>
      </c>
      <c r="M5" s="50">
        <f t="shared" si="2"/>
        <v>5.7971014492753623</v>
      </c>
    </row>
    <row r="6" spans="1:16" x14ac:dyDescent="0.25">
      <c r="A6" s="4" t="s">
        <v>62</v>
      </c>
      <c r="B6" s="4">
        <v>120</v>
      </c>
      <c r="C6" s="4">
        <v>74.5</v>
      </c>
      <c r="D6" s="4" t="s">
        <v>134</v>
      </c>
      <c r="E6" s="49"/>
      <c r="F6" s="49"/>
      <c r="G6" s="49"/>
      <c r="H6" s="49">
        <f>SUM(H2:H5)</f>
        <v>32</v>
      </c>
      <c r="I6" s="49">
        <f t="shared" si="0"/>
        <v>100</v>
      </c>
      <c r="J6" s="49">
        <f>SUM(J2:J5)</f>
        <v>37</v>
      </c>
      <c r="K6" s="49">
        <f>J6/37*100</f>
        <v>100</v>
      </c>
      <c r="L6" s="49">
        <f>SUM(L2:L5)</f>
        <v>69</v>
      </c>
      <c r="M6" s="49">
        <f t="shared" si="2"/>
        <v>100</v>
      </c>
    </row>
    <row r="7" spans="1:16" x14ac:dyDescent="0.25">
      <c r="A7" s="9" t="s">
        <v>62</v>
      </c>
      <c r="B7" s="9">
        <v>151.5</v>
      </c>
      <c r="C7" s="9">
        <v>88</v>
      </c>
      <c r="D7" s="9">
        <v>1</v>
      </c>
    </row>
    <row r="8" spans="1:16" x14ac:dyDescent="0.25">
      <c r="A8" s="10" t="s">
        <v>62</v>
      </c>
      <c r="B8" s="10">
        <v>124.5</v>
      </c>
      <c r="C8" s="10">
        <v>77.5</v>
      </c>
      <c r="D8" s="10" t="s">
        <v>134</v>
      </c>
      <c r="E8" s="79" t="s">
        <v>86</v>
      </c>
      <c r="F8" s="10" t="s">
        <v>125</v>
      </c>
      <c r="G8" s="10" t="s">
        <v>126</v>
      </c>
      <c r="I8" s="10" t="s">
        <v>141</v>
      </c>
      <c r="J8">
        <f>MAX(B2:B70)</f>
        <v>179</v>
      </c>
      <c r="K8" s="10" t="s">
        <v>142</v>
      </c>
    </row>
    <row r="9" spans="1:16" x14ac:dyDescent="0.25">
      <c r="A9" s="3" t="s">
        <v>62</v>
      </c>
      <c r="B9" s="3">
        <v>134.5</v>
      </c>
      <c r="C9" s="3">
        <v>92.5</v>
      </c>
      <c r="D9" s="3">
        <v>1</v>
      </c>
      <c r="E9" t="s">
        <v>128</v>
      </c>
      <c r="F9" s="48">
        <v>21.875</v>
      </c>
      <c r="G9" s="48">
        <v>18.918918918918919</v>
      </c>
      <c r="I9" t="s">
        <v>143</v>
      </c>
      <c r="J9">
        <f>MAX(B34:B70)</f>
        <v>163.5</v>
      </c>
      <c r="K9" t="s">
        <v>144</v>
      </c>
    </row>
    <row r="10" spans="1:16" x14ac:dyDescent="0.25">
      <c r="A10" s="3" t="s">
        <v>62</v>
      </c>
      <c r="B10" s="3">
        <v>136.5</v>
      </c>
      <c r="C10" s="3">
        <v>94.5</v>
      </c>
      <c r="D10" s="3">
        <v>1</v>
      </c>
      <c r="E10" t="s">
        <v>131</v>
      </c>
      <c r="F10" s="48">
        <v>43.75</v>
      </c>
      <c r="G10" s="48">
        <v>64.86486486486487</v>
      </c>
    </row>
    <row r="11" spans="1:16" x14ac:dyDescent="0.25">
      <c r="A11" s="3" t="s">
        <v>62</v>
      </c>
      <c r="B11" s="3">
        <v>160.5</v>
      </c>
      <c r="C11" s="3">
        <v>96</v>
      </c>
      <c r="D11" s="3">
        <v>2</v>
      </c>
      <c r="E11" t="s">
        <v>135</v>
      </c>
      <c r="F11" s="48">
        <v>28.125</v>
      </c>
      <c r="G11" s="48">
        <v>8.1081081081081088</v>
      </c>
    </row>
    <row r="12" spans="1:16" x14ac:dyDescent="0.25">
      <c r="A12" s="11" t="s">
        <v>62</v>
      </c>
      <c r="B12" s="11">
        <v>129</v>
      </c>
      <c r="C12" s="11">
        <v>89</v>
      </c>
      <c r="D12" s="11" t="s">
        <v>134</v>
      </c>
      <c r="E12" t="s">
        <v>138</v>
      </c>
      <c r="F12" s="48">
        <v>6.25</v>
      </c>
      <c r="G12" s="48">
        <v>8.1081081081081088</v>
      </c>
    </row>
    <row r="13" spans="1:16" x14ac:dyDescent="0.25">
      <c r="A13" s="3" t="s">
        <v>62</v>
      </c>
      <c r="B13" s="3">
        <v>133</v>
      </c>
      <c r="C13" s="3">
        <v>98</v>
      </c>
      <c r="D13" s="3">
        <v>1</v>
      </c>
      <c r="F13" s="48"/>
      <c r="G13" s="48"/>
    </row>
    <row r="14" spans="1:16" x14ac:dyDescent="0.25">
      <c r="A14" s="12" t="s">
        <v>62</v>
      </c>
      <c r="B14" s="12">
        <v>116</v>
      </c>
      <c r="C14" s="12">
        <v>84</v>
      </c>
      <c r="D14" s="12" t="s">
        <v>134</v>
      </c>
    </row>
    <row r="15" spans="1:16" x14ac:dyDescent="0.25">
      <c r="A15" s="3" t="s">
        <v>62</v>
      </c>
      <c r="B15" s="3">
        <v>127.5</v>
      </c>
      <c r="C15" s="3">
        <v>75.5</v>
      </c>
      <c r="D15" s="3" t="s">
        <v>134</v>
      </c>
    </row>
    <row r="16" spans="1:16" x14ac:dyDescent="0.25">
      <c r="A16" s="13" t="s">
        <v>62</v>
      </c>
      <c r="B16" s="13">
        <v>116.5</v>
      </c>
      <c r="C16" s="13">
        <v>77</v>
      </c>
      <c r="D16" s="13" t="s">
        <v>145</v>
      </c>
    </row>
    <row r="17" spans="1:4" x14ac:dyDescent="0.25">
      <c r="A17" s="3" t="s">
        <v>62</v>
      </c>
      <c r="B17" s="3">
        <v>137</v>
      </c>
      <c r="C17" s="3">
        <v>83</v>
      </c>
      <c r="D17" s="3" t="s">
        <v>134</v>
      </c>
    </row>
    <row r="18" spans="1:4" x14ac:dyDescent="0.25">
      <c r="A18" s="3" t="s">
        <v>62</v>
      </c>
      <c r="B18" s="3">
        <v>135</v>
      </c>
      <c r="C18" s="3">
        <v>85</v>
      </c>
      <c r="D18" s="3" t="s">
        <v>134</v>
      </c>
    </row>
    <row r="19" spans="1:4" x14ac:dyDescent="0.25">
      <c r="A19" s="3" t="s">
        <v>62</v>
      </c>
      <c r="B19" s="3">
        <v>117</v>
      </c>
      <c r="C19" s="3">
        <v>69.5</v>
      </c>
      <c r="D19" s="3" t="s">
        <v>145</v>
      </c>
    </row>
    <row r="20" spans="1:4" x14ac:dyDescent="0.25">
      <c r="A20" s="14" t="s">
        <v>62</v>
      </c>
      <c r="B20" s="14">
        <v>106</v>
      </c>
      <c r="C20" s="14">
        <v>76.5</v>
      </c>
      <c r="D20" s="14" t="s">
        <v>145</v>
      </c>
    </row>
    <row r="21" spans="1:4" x14ac:dyDescent="0.25">
      <c r="A21" s="3" t="s">
        <v>62</v>
      </c>
      <c r="B21" s="3">
        <v>130.5</v>
      </c>
      <c r="C21" s="3">
        <v>78.5</v>
      </c>
      <c r="D21" s="3" t="s">
        <v>134</v>
      </c>
    </row>
    <row r="22" spans="1:4" x14ac:dyDescent="0.25">
      <c r="A22" s="3" t="s">
        <v>62</v>
      </c>
      <c r="B22" s="3">
        <v>127.5</v>
      </c>
      <c r="C22" s="3">
        <v>84</v>
      </c>
      <c r="D22" s="3" t="s">
        <v>134</v>
      </c>
    </row>
    <row r="23" spans="1:4" x14ac:dyDescent="0.25">
      <c r="A23" s="3" t="s">
        <v>62</v>
      </c>
      <c r="B23" s="3">
        <v>112</v>
      </c>
      <c r="C23" s="3">
        <v>74.5</v>
      </c>
      <c r="D23" s="3" t="s">
        <v>145</v>
      </c>
    </row>
    <row r="24" spans="1:4" x14ac:dyDescent="0.25">
      <c r="A24" s="3" t="s">
        <v>62</v>
      </c>
      <c r="B24" s="3">
        <v>135</v>
      </c>
      <c r="C24" s="3">
        <v>73</v>
      </c>
      <c r="D24" s="3" t="s">
        <v>134</v>
      </c>
    </row>
    <row r="25" spans="1:4" x14ac:dyDescent="0.25">
      <c r="A25" s="5" t="s">
        <v>62</v>
      </c>
      <c r="B25" s="5">
        <v>138</v>
      </c>
      <c r="C25" s="5">
        <v>82</v>
      </c>
      <c r="D25" s="5" t="s">
        <v>134</v>
      </c>
    </row>
    <row r="26" spans="1:4" x14ac:dyDescent="0.25">
      <c r="A26" s="5" t="s">
        <v>62</v>
      </c>
      <c r="B26" s="5">
        <v>116.5</v>
      </c>
      <c r="C26" s="5">
        <v>74.5</v>
      </c>
      <c r="D26" s="5" t="s">
        <v>145</v>
      </c>
    </row>
    <row r="27" spans="1:4" x14ac:dyDescent="0.25">
      <c r="A27" s="3" t="s">
        <v>62</v>
      </c>
      <c r="B27" s="3">
        <v>117</v>
      </c>
      <c r="C27" s="3">
        <v>77.5</v>
      </c>
      <c r="D27" s="3" t="s">
        <v>145</v>
      </c>
    </row>
    <row r="28" spans="1:4" x14ac:dyDescent="0.25">
      <c r="A28" s="3" t="s">
        <v>62</v>
      </c>
      <c r="B28" s="3">
        <v>135</v>
      </c>
      <c r="C28" s="3">
        <v>92</v>
      </c>
      <c r="D28" s="3">
        <v>1</v>
      </c>
    </row>
    <row r="29" spans="1:4" x14ac:dyDescent="0.25">
      <c r="A29" s="3" t="s">
        <v>62</v>
      </c>
      <c r="B29" s="3">
        <v>122</v>
      </c>
      <c r="C29" s="3">
        <v>75.5</v>
      </c>
      <c r="D29" s="3" t="s">
        <v>134</v>
      </c>
    </row>
    <row r="30" spans="1:4" x14ac:dyDescent="0.25">
      <c r="A30" s="3" t="s">
        <v>62</v>
      </c>
      <c r="B30" s="3">
        <v>108.5</v>
      </c>
      <c r="C30" s="3">
        <v>70</v>
      </c>
      <c r="D30" s="3" t="s">
        <v>145</v>
      </c>
    </row>
    <row r="31" spans="1:4" x14ac:dyDescent="0.25">
      <c r="A31" s="3" t="s">
        <v>62</v>
      </c>
      <c r="B31" s="3">
        <v>155</v>
      </c>
      <c r="C31" s="3">
        <v>94</v>
      </c>
      <c r="D31" s="3">
        <v>1</v>
      </c>
    </row>
    <row r="32" spans="1:4" x14ac:dyDescent="0.25">
      <c r="A32" s="3" t="s">
        <v>62</v>
      </c>
      <c r="B32" s="3">
        <v>145.5</v>
      </c>
      <c r="C32" s="3">
        <v>96</v>
      </c>
      <c r="D32" s="3">
        <v>1</v>
      </c>
    </row>
    <row r="33" spans="1:5" x14ac:dyDescent="0.25">
      <c r="A33" s="3" t="s">
        <v>62</v>
      </c>
      <c r="B33" s="3">
        <v>140</v>
      </c>
      <c r="C33" s="3">
        <v>80</v>
      </c>
      <c r="D33" s="3">
        <v>1</v>
      </c>
    </row>
    <row r="34" spans="1:5" x14ac:dyDescent="0.25">
      <c r="A34" s="4" t="s">
        <v>63</v>
      </c>
      <c r="B34" s="4">
        <v>111</v>
      </c>
      <c r="C34" s="4">
        <v>80</v>
      </c>
      <c r="D34" s="4" t="s">
        <v>134</v>
      </c>
      <c r="E34" t="s">
        <v>146</v>
      </c>
    </row>
    <row r="35" spans="1:5" x14ac:dyDescent="0.25">
      <c r="A35" s="4" t="s">
        <v>63</v>
      </c>
      <c r="B35" s="4">
        <v>116.5</v>
      </c>
      <c r="C35" s="4">
        <v>66</v>
      </c>
      <c r="D35" s="4" t="s">
        <v>145</v>
      </c>
    </row>
    <row r="36" spans="1:5" x14ac:dyDescent="0.25">
      <c r="A36" s="3" t="s">
        <v>63</v>
      </c>
      <c r="B36" s="3">
        <v>132.5</v>
      </c>
      <c r="C36" s="3">
        <v>87</v>
      </c>
      <c r="D36" s="3" t="s">
        <v>134</v>
      </c>
    </row>
    <row r="37" spans="1:5" x14ac:dyDescent="0.25">
      <c r="A37" s="6" t="s">
        <v>63</v>
      </c>
      <c r="B37" s="6">
        <v>127.5</v>
      </c>
      <c r="C37" s="6">
        <v>83.5</v>
      </c>
      <c r="D37" s="6" t="s">
        <v>134</v>
      </c>
    </row>
    <row r="38" spans="1:5" x14ac:dyDescent="0.25">
      <c r="A38" s="8" t="s">
        <v>63</v>
      </c>
      <c r="B38" s="8">
        <v>136.5</v>
      </c>
      <c r="C38" s="8">
        <v>94.5</v>
      </c>
      <c r="D38" s="8">
        <v>1</v>
      </c>
    </row>
    <row r="39" spans="1:5" x14ac:dyDescent="0.25">
      <c r="A39" s="8" t="s">
        <v>63</v>
      </c>
      <c r="B39" s="8">
        <v>110.5</v>
      </c>
      <c r="C39" s="8">
        <v>73</v>
      </c>
      <c r="D39" s="8" t="s">
        <v>145</v>
      </c>
    </row>
    <row r="40" spans="1:5" x14ac:dyDescent="0.25">
      <c r="A40" s="3" t="s">
        <v>63</v>
      </c>
      <c r="B40" s="3">
        <v>110</v>
      </c>
      <c r="C40" s="3">
        <v>86</v>
      </c>
      <c r="D40" s="3" t="s">
        <v>134</v>
      </c>
    </row>
    <row r="41" spans="1:5" x14ac:dyDescent="0.25">
      <c r="A41" s="3" t="s">
        <v>63</v>
      </c>
      <c r="B41" s="3">
        <v>108</v>
      </c>
      <c r="C41" s="3">
        <v>74</v>
      </c>
      <c r="D41" s="3" t="s">
        <v>145</v>
      </c>
    </row>
    <row r="42" spans="1:5" x14ac:dyDescent="0.25">
      <c r="A42" s="9" t="s">
        <v>63</v>
      </c>
      <c r="B42" s="9">
        <v>119.5</v>
      </c>
      <c r="C42" s="9">
        <v>79.5</v>
      </c>
      <c r="D42" s="9" t="s">
        <v>145</v>
      </c>
    </row>
    <row r="43" spans="1:5" x14ac:dyDescent="0.25">
      <c r="A43" s="10" t="s">
        <v>63</v>
      </c>
      <c r="B43" s="10">
        <v>120</v>
      </c>
      <c r="C43" s="10">
        <v>67.5</v>
      </c>
      <c r="D43" s="10" t="s">
        <v>134</v>
      </c>
      <c r="E43" t="s">
        <v>146</v>
      </c>
    </row>
    <row r="44" spans="1:5" x14ac:dyDescent="0.25">
      <c r="A44" s="3" t="s">
        <v>63</v>
      </c>
      <c r="B44" s="3">
        <v>128</v>
      </c>
      <c r="C44" s="3">
        <v>73</v>
      </c>
      <c r="D44" s="3" t="s">
        <v>134</v>
      </c>
    </row>
    <row r="45" spans="1:5" x14ac:dyDescent="0.25">
      <c r="A45" s="3" t="s">
        <v>63</v>
      </c>
      <c r="B45" s="3">
        <v>151.5</v>
      </c>
      <c r="C45" s="3">
        <v>94</v>
      </c>
      <c r="D45" s="3">
        <v>1</v>
      </c>
    </row>
    <row r="46" spans="1:5" x14ac:dyDescent="0.25">
      <c r="A46" s="11" t="s">
        <v>63</v>
      </c>
      <c r="B46" s="11">
        <v>130.5</v>
      </c>
      <c r="C46" s="11">
        <v>89.5</v>
      </c>
      <c r="D46" s="11" t="s">
        <v>134</v>
      </c>
      <c r="E46" t="s">
        <v>146</v>
      </c>
    </row>
    <row r="47" spans="1:5" x14ac:dyDescent="0.25">
      <c r="A47" s="12" t="s">
        <v>63</v>
      </c>
      <c r="B47" s="12">
        <v>118.5</v>
      </c>
      <c r="C47" s="12">
        <v>84.5</v>
      </c>
      <c r="D47" s="12" t="s">
        <v>134</v>
      </c>
    </row>
    <row r="48" spans="1:5" x14ac:dyDescent="0.25">
      <c r="A48" s="13" t="s">
        <v>63</v>
      </c>
      <c r="B48" s="13">
        <v>120</v>
      </c>
      <c r="C48" s="13">
        <v>82.5</v>
      </c>
      <c r="D48" s="13" t="s">
        <v>134</v>
      </c>
    </row>
    <row r="49" spans="1:7" x14ac:dyDescent="0.25">
      <c r="A49" s="3" t="s">
        <v>63</v>
      </c>
      <c r="B49" s="3">
        <v>162.5</v>
      </c>
      <c r="C49" s="3">
        <v>89.5</v>
      </c>
      <c r="D49" s="3">
        <v>2</v>
      </c>
    </row>
    <row r="50" spans="1:7" x14ac:dyDescent="0.25">
      <c r="A50" s="3" t="s">
        <v>63</v>
      </c>
      <c r="B50" s="3">
        <v>129.5</v>
      </c>
      <c r="C50" s="3">
        <v>85.5</v>
      </c>
      <c r="D50" s="3" t="s">
        <v>134</v>
      </c>
    </row>
    <row r="51" spans="1:7" x14ac:dyDescent="0.25">
      <c r="A51" s="3" t="s">
        <v>63</v>
      </c>
      <c r="B51" s="3">
        <v>137</v>
      </c>
      <c r="C51" s="3">
        <v>77</v>
      </c>
      <c r="D51" s="3" t="s">
        <v>134</v>
      </c>
    </row>
    <row r="52" spans="1:7" x14ac:dyDescent="0.25">
      <c r="A52" s="3" t="s">
        <v>63</v>
      </c>
      <c r="B52" s="3">
        <v>120.5</v>
      </c>
      <c r="C52" s="3">
        <v>85</v>
      </c>
      <c r="D52" s="3" t="s">
        <v>134</v>
      </c>
    </row>
    <row r="53" spans="1:7" x14ac:dyDescent="0.25">
      <c r="A53" s="3" t="s">
        <v>63</v>
      </c>
      <c r="B53" s="3">
        <v>120</v>
      </c>
      <c r="C53" s="3">
        <v>79</v>
      </c>
      <c r="D53" s="3" t="s">
        <v>134</v>
      </c>
      <c r="E53" t="s">
        <v>146</v>
      </c>
    </row>
    <row r="54" spans="1:7" x14ac:dyDescent="0.25">
      <c r="A54" s="3" t="s">
        <v>63</v>
      </c>
      <c r="B54" s="3">
        <v>131</v>
      </c>
      <c r="C54" s="3">
        <v>92</v>
      </c>
      <c r="D54" s="3">
        <v>1</v>
      </c>
    </row>
    <row r="55" spans="1:7" x14ac:dyDescent="0.25">
      <c r="A55" s="3" t="s">
        <v>63</v>
      </c>
      <c r="B55" s="3">
        <v>122.5</v>
      </c>
      <c r="C55" s="3">
        <v>81.5</v>
      </c>
      <c r="D55" s="3" t="s">
        <v>134</v>
      </c>
    </row>
    <row r="56" spans="1:7" x14ac:dyDescent="0.25">
      <c r="A56" s="14" t="s">
        <v>63</v>
      </c>
      <c r="B56" s="14">
        <v>122</v>
      </c>
      <c r="C56" s="14">
        <v>69</v>
      </c>
      <c r="D56" s="14" t="s">
        <v>134</v>
      </c>
      <c r="E56" t="s">
        <v>86</v>
      </c>
      <c r="F56" t="s">
        <v>123</v>
      </c>
      <c r="G56" t="s">
        <v>124</v>
      </c>
    </row>
    <row r="57" spans="1:7" x14ac:dyDescent="0.25">
      <c r="A57" s="15" t="s">
        <v>63</v>
      </c>
      <c r="B57" s="15">
        <v>109</v>
      </c>
      <c r="C57" s="15">
        <v>73.5</v>
      </c>
      <c r="D57" s="15" t="s">
        <v>145</v>
      </c>
      <c r="E57" t="s">
        <v>128</v>
      </c>
      <c r="F57" t="s">
        <v>129</v>
      </c>
      <c r="G57" t="s">
        <v>130</v>
      </c>
    </row>
    <row r="58" spans="1:7" x14ac:dyDescent="0.25">
      <c r="A58" s="15" t="s">
        <v>63</v>
      </c>
      <c r="B58" s="15">
        <v>124.5</v>
      </c>
      <c r="C58" s="15">
        <v>88.5</v>
      </c>
      <c r="D58" s="15" t="s">
        <v>134</v>
      </c>
      <c r="E58" t="s">
        <v>131</v>
      </c>
      <c r="F58" t="s">
        <v>132</v>
      </c>
      <c r="G58" t="s">
        <v>133</v>
      </c>
    </row>
    <row r="59" spans="1:7" x14ac:dyDescent="0.25">
      <c r="A59" s="16" t="s">
        <v>63</v>
      </c>
      <c r="B59" s="16">
        <v>117</v>
      </c>
      <c r="C59" s="16">
        <v>70</v>
      </c>
      <c r="D59" s="16" t="s">
        <v>145</v>
      </c>
      <c r="E59" t="s">
        <v>135</v>
      </c>
      <c r="F59" t="s">
        <v>136</v>
      </c>
      <c r="G59" t="s">
        <v>137</v>
      </c>
    </row>
    <row r="60" spans="1:7" x14ac:dyDescent="0.25">
      <c r="A60" s="16" t="s">
        <v>63</v>
      </c>
      <c r="B60" s="16">
        <v>124.5</v>
      </c>
      <c r="C60" s="16">
        <v>86.5</v>
      </c>
      <c r="D60" s="16" t="s">
        <v>134</v>
      </c>
      <c r="E60" t="s">
        <v>138</v>
      </c>
      <c r="F60" t="s">
        <v>139</v>
      </c>
      <c r="G60" t="s">
        <v>140</v>
      </c>
    </row>
    <row r="61" spans="1:7" x14ac:dyDescent="0.25">
      <c r="A61" s="3" t="s">
        <v>63</v>
      </c>
      <c r="B61" s="3">
        <v>163.5</v>
      </c>
      <c r="C61" s="3">
        <v>99</v>
      </c>
      <c r="D61" s="3">
        <v>2</v>
      </c>
    </row>
    <row r="62" spans="1:7" x14ac:dyDescent="0.25">
      <c r="A62" s="3" t="s">
        <v>63</v>
      </c>
      <c r="B62" s="3">
        <v>123.5</v>
      </c>
      <c r="C62" s="3">
        <v>85</v>
      </c>
      <c r="D62" s="3" t="s">
        <v>134</v>
      </c>
    </row>
    <row r="63" spans="1:7" x14ac:dyDescent="0.25">
      <c r="A63" s="3" t="s">
        <v>63</v>
      </c>
      <c r="B63" s="3">
        <v>130</v>
      </c>
      <c r="C63" s="3">
        <v>76</v>
      </c>
      <c r="D63" s="3" t="s">
        <v>134</v>
      </c>
    </row>
    <row r="64" spans="1:7" x14ac:dyDescent="0.25">
      <c r="A64" s="3" t="s">
        <v>63</v>
      </c>
      <c r="B64" s="3">
        <v>134</v>
      </c>
      <c r="C64" s="3">
        <v>81.5</v>
      </c>
      <c r="D64" s="3" t="s">
        <v>134</v>
      </c>
    </row>
    <row r="65" spans="1:4" x14ac:dyDescent="0.25">
      <c r="A65" s="3" t="s">
        <v>63</v>
      </c>
      <c r="B65" s="3">
        <v>136.5</v>
      </c>
      <c r="C65" s="3">
        <v>84.5</v>
      </c>
      <c r="D65" s="3" t="s">
        <v>134</v>
      </c>
    </row>
    <row r="66" spans="1:4" x14ac:dyDescent="0.25">
      <c r="A66" s="3" t="s">
        <v>63</v>
      </c>
      <c r="B66" s="3">
        <v>124.5</v>
      </c>
      <c r="C66" s="3">
        <v>74.5</v>
      </c>
      <c r="D66" s="3" t="s">
        <v>134</v>
      </c>
    </row>
    <row r="67" spans="1:4" x14ac:dyDescent="0.25">
      <c r="A67" s="3" t="s">
        <v>63</v>
      </c>
      <c r="B67" s="3">
        <v>121.5</v>
      </c>
      <c r="C67" s="3">
        <v>83.5</v>
      </c>
      <c r="D67" s="3" t="s">
        <v>134</v>
      </c>
    </row>
    <row r="68" spans="1:4" x14ac:dyDescent="0.25">
      <c r="A68" s="3" t="s">
        <v>63</v>
      </c>
      <c r="B68" s="3">
        <v>134</v>
      </c>
      <c r="C68" s="3">
        <v>101</v>
      </c>
      <c r="D68" s="3">
        <v>2</v>
      </c>
    </row>
    <row r="69" spans="1:4" x14ac:dyDescent="0.25">
      <c r="A69" s="3" t="s">
        <v>63</v>
      </c>
      <c r="B69" s="3">
        <v>113</v>
      </c>
      <c r="C69" s="3">
        <v>73.5</v>
      </c>
      <c r="D69" s="3" t="s">
        <v>145</v>
      </c>
    </row>
    <row r="70" spans="1:4" x14ac:dyDescent="0.25">
      <c r="A70" s="3" t="s">
        <v>63</v>
      </c>
      <c r="B70" s="3">
        <v>124.5</v>
      </c>
      <c r="C70" s="3">
        <v>88</v>
      </c>
      <c r="D70" s="3" t="s">
        <v>134</v>
      </c>
    </row>
    <row r="71" spans="1:4" ht="15.75" x14ac:dyDescent="0.25">
      <c r="A71" s="17"/>
      <c r="B71" s="19">
        <v>128.39130434782609</v>
      </c>
      <c r="C71" s="19">
        <v>82.731884057971016</v>
      </c>
      <c r="D71" s="19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workbookViewId="0">
      <selection activeCell="Z23" sqref="Z23"/>
    </sheetView>
  </sheetViews>
  <sheetFormatPr defaultRowHeight="15" x14ac:dyDescent="0.25"/>
  <cols>
    <col min="1" max="1" width="11.28515625" style="3" bestFit="1" customWidth="1"/>
    <col min="2" max="2" width="4.140625" style="3" bestFit="1" customWidth="1"/>
    <col min="3" max="3" width="12.7109375" style="3" bestFit="1" customWidth="1"/>
    <col min="4" max="4" width="12.7109375" style="3" customWidth="1"/>
  </cols>
  <sheetData>
    <row r="1" spans="1:7" x14ac:dyDescent="0.25">
      <c r="A1" s="1" t="s">
        <v>147</v>
      </c>
      <c r="B1" s="1" t="s">
        <v>0</v>
      </c>
      <c r="C1" s="18" t="s">
        <v>86</v>
      </c>
      <c r="D1" s="18"/>
      <c r="F1" s="49" t="s">
        <v>148</v>
      </c>
      <c r="G1" s="49" t="s">
        <v>149</v>
      </c>
    </row>
    <row r="2" spans="1:7" x14ac:dyDescent="0.25">
      <c r="A2" s="8" t="s">
        <v>63</v>
      </c>
      <c r="B2" s="8">
        <v>14</v>
      </c>
      <c r="C2" s="8" t="s">
        <v>145</v>
      </c>
      <c r="D2" s="8"/>
      <c r="F2" s="49" t="s">
        <v>150</v>
      </c>
      <c r="G2" s="49">
        <v>18</v>
      </c>
    </row>
    <row r="3" spans="1:7" x14ac:dyDescent="0.25">
      <c r="A3" s="4" t="s">
        <v>63</v>
      </c>
      <c r="B3" s="4">
        <v>16</v>
      </c>
      <c r="C3" s="4" t="s">
        <v>145</v>
      </c>
      <c r="D3" s="4"/>
      <c r="F3" s="49" t="s">
        <v>151</v>
      </c>
      <c r="G3" s="49">
        <v>18</v>
      </c>
    </row>
    <row r="4" spans="1:7" x14ac:dyDescent="0.25">
      <c r="A4" s="16" t="s">
        <v>63</v>
      </c>
      <c r="B4" s="16">
        <v>16</v>
      </c>
      <c r="C4" s="16" t="s">
        <v>134</v>
      </c>
      <c r="D4" s="16"/>
      <c r="F4" s="49" t="s">
        <v>152</v>
      </c>
      <c r="G4" s="49">
        <v>21</v>
      </c>
    </row>
    <row r="5" spans="1:7" x14ac:dyDescent="0.25">
      <c r="A5" s="4" t="s">
        <v>62</v>
      </c>
      <c r="B5" s="4">
        <v>18</v>
      </c>
      <c r="C5" s="4" t="s">
        <v>134</v>
      </c>
      <c r="D5" s="4"/>
      <c r="F5" s="49" t="s">
        <v>153</v>
      </c>
      <c r="G5" s="49">
        <v>5</v>
      </c>
    </row>
    <row r="6" spans="1:7" x14ac:dyDescent="0.25">
      <c r="A6" s="3" t="s">
        <v>62</v>
      </c>
      <c r="B6" s="3">
        <v>18</v>
      </c>
      <c r="C6" s="3" t="s">
        <v>134</v>
      </c>
      <c r="F6" s="49" t="s">
        <v>154</v>
      </c>
      <c r="G6" s="49">
        <v>7</v>
      </c>
    </row>
    <row r="7" spans="1:7" x14ac:dyDescent="0.25">
      <c r="A7" s="3" t="s">
        <v>62</v>
      </c>
      <c r="B7" s="3">
        <v>18</v>
      </c>
      <c r="C7" s="3" t="s">
        <v>134</v>
      </c>
      <c r="G7">
        <v>69</v>
      </c>
    </row>
    <row r="8" spans="1:7" x14ac:dyDescent="0.25">
      <c r="A8" s="3" t="s">
        <v>63</v>
      </c>
      <c r="B8" s="3">
        <v>18</v>
      </c>
      <c r="C8" s="3" t="s">
        <v>145</v>
      </c>
      <c r="E8" s="49" t="s">
        <v>150</v>
      </c>
      <c r="F8" s="80" t="s">
        <v>145</v>
      </c>
      <c r="G8" s="49">
        <f>COUNTIFS($C$2:$C$19,"Normo")</f>
        <v>6</v>
      </c>
    </row>
    <row r="9" spans="1:7" x14ac:dyDescent="0.25">
      <c r="A9" s="3" t="s">
        <v>62</v>
      </c>
      <c r="B9" s="3">
        <v>19</v>
      </c>
      <c r="C9" s="3" t="s">
        <v>134</v>
      </c>
      <c r="E9" s="49"/>
      <c r="F9" s="49" t="s">
        <v>134</v>
      </c>
      <c r="G9" s="49">
        <f>COUNTIFS($C$2:$C$19,"Pre-hype")</f>
        <v>10</v>
      </c>
    </row>
    <row r="10" spans="1:7" x14ac:dyDescent="0.25">
      <c r="A10" s="3" t="s">
        <v>63</v>
      </c>
      <c r="B10" s="3">
        <v>19</v>
      </c>
      <c r="C10" s="3" t="s">
        <v>134</v>
      </c>
      <c r="E10" s="49"/>
      <c r="F10" s="49">
        <v>1</v>
      </c>
      <c r="G10" s="49">
        <f>COUNTIFS($C$2:$C$19,"1")</f>
        <v>2</v>
      </c>
    </row>
    <row r="11" spans="1:7" x14ac:dyDescent="0.25">
      <c r="A11" s="3" t="s">
        <v>63</v>
      </c>
      <c r="B11" s="3">
        <v>19</v>
      </c>
      <c r="C11" s="3" t="s">
        <v>134</v>
      </c>
      <c r="E11" s="49"/>
      <c r="F11" s="49">
        <v>2</v>
      </c>
      <c r="G11" s="49">
        <f>COUNTIFS($C$2:$C$19,"2")</f>
        <v>0</v>
      </c>
    </row>
    <row r="12" spans="1:7" x14ac:dyDescent="0.25">
      <c r="A12" s="3" t="s">
        <v>62</v>
      </c>
      <c r="B12" s="3">
        <v>20</v>
      </c>
      <c r="C12" s="3" t="s">
        <v>145</v>
      </c>
      <c r="E12" s="49" t="s">
        <v>151</v>
      </c>
      <c r="F12" s="80" t="s">
        <v>145</v>
      </c>
      <c r="G12" s="49">
        <f>COUNTIFS($C$20:$C$37,"Normo")</f>
        <v>3</v>
      </c>
    </row>
    <row r="13" spans="1:7" x14ac:dyDescent="0.25">
      <c r="A13" s="5" t="s">
        <v>62</v>
      </c>
      <c r="B13" s="5">
        <v>20</v>
      </c>
      <c r="C13" s="5" t="s">
        <v>145</v>
      </c>
      <c r="D13" s="5"/>
      <c r="E13" s="49"/>
      <c r="F13" s="49" t="s">
        <v>134</v>
      </c>
      <c r="G13" s="49">
        <f>COUNTIFS($C$20:$C$37,"Pre-hype")</f>
        <v>12</v>
      </c>
    </row>
    <row r="14" spans="1:7" x14ac:dyDescent="0.25">
      <c r="A14" s="3" t="s">
        <v>62</v>
      </c>
      <c r="B14" s="3">
        <v>21</v>
      </c>
      <c r="C14" s="3" t="s">
        <v>134</v>
      </c>
      <c r="E14" s="49"/>
      <c r="F14" s="49">
        <v>1</v>
      </c>
      <c r="G14" s="49">
        <f>COUNTIFS($C$20:$C$37,"1")</f>
        <v>2</v>
      </c>
    </row>
    <row r="15" spans="1:7" x14ac:dyDescent="0.25">
      <c r="A15" s="3" t="s">
        <v>62</v>
      </c>
      <c r="B15" s="3">
        <v>21</v>
      </c>
      <c r="C15" s="3" t="s">
        <v>134</v>
      </c>
      <c r="E15" s="49"/>
      <c r="F15" s="49">
        <v>2</v>
      </c>
      <c r="G15" s="49">
        <f>COUNTIFS($C$20:$C$37,"2")</f>
        <v>1</v>
      </c>
    </row>
    <row r="16" spans="1:7" x14ac:dyDescent="0.25">
      <c r="A16" s="3" t="s">
        <v>63</v>
      </c>
      <c r="B16" s="3">
        <v>21</v>
      </c>
      <c r="C16" s="3">
        <v>1</v>
      </c>
      <c r="E16" s="49" t="s">
        <v>152</v>
      </c>
      <c r="F16" s="80" t="s">
        <v>145</v>
      </c>
      <c r="G16" s="49">
        <f>COUNTIFS($C$38:$C$58,"Normo")</f>
        <v>3</v>
      </c>
    </row>
    <row r="17" spans="1:12" x14ac:dyDescent="0.25">
      <c r="A17" s="3" t="s">
        <v>62</v>
      </c>
      <c r="B17" s="3">
        <v>23</v>
      </c>
      <c r="C17" s="3">
        <v>1</v>
      </c>
      <c r="E17" s="49"/>
      <c r="F17" s="49" t="s">
        <v>134</v>
      </c>
      <c r="G17" s="49">
        <f>COUNTIFS($C$38:$C$58,"Pre-hype")</f>
        <v>9</v>
      </c>
      <c r="H17" s="49"/>
      <c r="I17" s="49" t="s">
        <v>145</v>
      </c>
      <c r="J17" s="49" t="s">
        <v>134</v>
      </c>
      <c r="K17" s="49">
        <v>1</v>
      </c>
      <c r="L17" s="49">
        <v>2</v>
      </c>
    </row>
    <row r="18" spans="1:12" x14ac:dyDescent="0.25">
      <c r="A18" s="3" t="s">
        <v>63</v>
      </c>
      <c r="B18" s="3">
        <v>23</v>
      </c>
      <c r="C18" s="3" t="s">
        <v>134</v>
      </c>
      <c r="E18" s="49"/>
      <c r="F18" s="49">
        <v>1</v>
      </c>
      <c r="G18" s="49">
        <f>COUNTIFS($C$38:$C$58,"1")</f>
        <v>8</v>
      </c>
      <c r="H18" s="49" t="s">
        <v>155</v>
      </c>
      <c r="I18" s="49">
        <v>6</v>
      </c>
      <c r="J18" s="49">
        <v>10</v>
      </c>
      <c r="K18" s="49">
        <v>2</v>
      </c>
      <c r="L18" s="49">
        <v>0</v>
      </c>
    </row>
    <row r="19" spans="1:12" x14ac:dyDescent="0.25">
      <c r="A19" s="3" t="s">
        <v>63</v>
      </c>
      <c r="B19" s="3">
        <v>23</v>
      </c>
      <c r="C19" s="3" t="s">
        <v>145</v>
      </c>
      <c r="E19" s="49"/>
      <c r="F19" s="49">
        <v>2</v>
      </c>
      <c r="G19" s="49">
        <f>COUNTIFS($C$38:$C$58,"2")</f>
        <v>1</v>
      </c>
      <c r="H19" s="49" t="s">
        <v>156</v>
      </c>
      <c r="I19" s="49">
        <v>3</v>
      </c>
      <c r="J19" s="49">
        <v>12</v>
      </c>
      <c r="K19" s="49">
        <v>2</v>
      </c>
      <c r="L19" s="49">
        <v>1</v>
      </c>
    </row>
    <row r="20" spans="1:12" x14ac:dyDescent="0.25">
      <c r="A20" s="6" t="s">
        <v>63</v>
      </c>
      <c r="B20" s="6">
        <v>24</v>
      </c>
      <c r="C20" s="6" t="s">
        <v>134</v>
      </c>
      <c r="D20" s="6"/>
      <c r="E20" s="49"/>
      <c r="F20" s="49"/>
      <c r="G20" s="49"/>
      <c r="H20" s="49" t="s">
        <v>157</v>
      </c>
      <c r="I20" s="49">
        <v>3</v>
      </c>
      <c r="J20" s="49">
        <v>9</v>
      </c>
      <c r="K20" s="49">
        <v>8</v>
      </c>
      <c r="L20" s="49">
        <v>1</v>
      </c>
    </row>
    <row r="21" spans="1:12" x14ac:dyDescent="0.25">
      <c r="A21" s="3" t="s">
        <v>63</v>
      </c>
      <c r="B21" s="3">
        <v>25</v>
      </c>
      <c r="C21" s="3" t="s">
        <v>134</v>
      </c>
      <c r="E21" s="49" t="s">
        <v>153</v>
      </c>
      <c r="F21" s="80" t="s">
        <v>145</v>
      </c>
      <c r="G21" s="49">
        <f>COUNTIFS($C$59:$C$63,"Normo")</f>
        <v>1</v>
      </c>
      <c r="H21" s="80" t="s">
        <v>158</v>
      </c>
      <c r="I21" s="49">
        <v>1</v>
      </c>
      <c r="J21" s="49">
        <v>3</v>
      </c>
      <c r="K21" s="49">
        <v>0</v>
      </c>
      <c r="L21" s="49">
        <v>1</v>
      </c>
    </row>
    <row r="22" spans="1:12" x14ac:dyDescent="0.25">
      <c r="A22" s="15" t="s">
        <v>63</v>
      </c>
      <c r="B22" s="15">
        <v>25</v>
      </c>
      <c r="C22" s="15" t="s">
        <v>145</v>
      </c>
      <c r="D22" s="15"/>
      <c r="E22" s="49"/>
      <c r="F22" s="49" t="s">
        <v>134</v>
      </c>
      <c r="G22" s="49">
        <f>COUNTIFS($C$59:$C$63,"Pre-hype")</f>
        <v>3</v>
      </c>
      <c r="H22" s="49" t="s">
        <v>159</v>
      </c>
      <c r="I22" s="49">
        <v>1</v>
      </c>
      <c r="J22" s="49">
        <v>4</v>
      </c>
      <c r="K22" s="49">
        <v>0</v>
      </c>
      <c r="L22" s="49">
        <v>2</v>
      </c>
    </row>
    <row r="23" spans="1:12" x14ac:dyDescent="0.25">
      <c r="A23" s="3" t="s">
        <v>62</v>
      </c>
      <c r="B23" s="3">
        <v>27</v>
      </c>
      <c r="C23" s="3" t="s">
        <v>145</v>
      </c>
      <c r="E23" s="49"/>
      <c r="F23" s="49">
        <v>1</v>
      </c>
      <c r="G23" s="49">
        <f>COUNTIFS($C$59:$C$63,"1")</f>
        <v>0</v>
      </c>
    </row>
    <row r="24" spans="1:12" x14ac:dyDescent="0.25">
      <c r="A24" s="10" t="s">
        <v>63</v>
      </c>
      <c r="B24" s="10">
        <v>27</v>
      </c>
      <c r="C24" s="10" t="s">
        <v>134</v>
      </c>
      <c r="D24" s="10"/>
      <c r="E24" s="49"/>
      <c r="F24" s="49">
        <v>2</v>
      </c>
      <c r="G24" s="49">
        <f>COUNTIFS($C$59:$C$63,"2")</f>
        <v>1</v>
      </c>
    </row>
    <row r="25" spans="1:12" x14ac:dyDescent="0.25">
      <c r="A25" s="3" t="s">
        <v>63</v>
      </c>
      <c r="B25" s="3">
        <v>27</v>
      </c>
      <c r="C25" s="3" t="s">
        <v>134</v>
      </c>
      <c r="E25" s="49" t="s">
        <v>154</v>
      </c>
      <c r="F25" s="80" t="s">
        <v>145</v>
      </c>
      <c r="G25" s="49">
        <f>COUNTIFS($C$64:$C$70,"Normo")</f>
        <v>1</v>
      </c>
    </row>
    <row r="26" spans="1:12" x14ac:dyDescent="0.25">
      <c r="A26" s="3" t="s">
        <v>63</v>
      </c>
      <c r="B26" s="3">
        <v>28</v>
      </c>
      <c r="C26" s="3" t="s">
        <v>134</v>
      </c>
      <c r="E26" s="49"/>
      <c r="F26" s="49" t="s">
        <v>134</v>
      </c>
      <c r="G26" s="49">
        <f>COUNTIFS($C$64:$C$70,"Pre-hype")</f>
        <v>4</v>
      </c>
    </row>
    <row r="27" spans="1:12" x14ac:dyDescent="0.25">
      <c r="A27" s="9" t="s">
        <v>63</v>
      </c>
      <c r="B27" s="9">
        <v>29</v>
      </c>
      <c r="C27" s="9" t="s">
        <v>145</v>
      </c>
      <c r="D27" s="9"/>
      <c r="E27" s="49"/>
      <c r="F27" s="49">
        <v>1</v>
      </c>
      <c r="G27" s="49">
        <f>COUNTIFS($C$64:$C$70,"1")</f>
        <v>0</v>
      </c>
    </row>
    <row r="28" spans="1:12" x14ac:dyDescent="0.25">
      <c r="A28" s="3" t="s">
        <v>62</v>
      </c>
      <c r="B28" s="3">
        <v>30</v>
      </c>
      <c r="C28" s="3">
        <v>1</v>
      </c>
      <c r="E28" s="49"/>
      <c r="F28" s="49">
        <v>2</v>
      </c>
      <c r="G28" s="49">
        <f>COUNTIFS($C$64:$C$70,"2")</f>
        <v>2</v>
      </c>
    </row>
    <row r="29" spans="1:12" x14ac:dyDescent="0.25">
      <c r="A29" s="12" t="s">
        <v>63</v>
      </c>
      <c r="B29" s="12">
        <v>30</v>
      </c>
      <c r="C29" s="12" t="s">
        <v>134</v>
      </c>
      <c r="D29" s="12"/>
      <c r="F29" s="79"/>
      <c r="G29" s="79"/>
    </row>
    <row r="30" spans="1:12" x14ac:dyDescent="0.25">
      <c r="A30" s="5" t="s">
        <v>62</v>
      </c>
      <c r="B30" s="5">
        <v>31</v>
      </c>
      <c r="C30" s="5" t="s">
        <v>134</v>
      </c>
      <c r="D30" s="5"/>
    </row>
    <row r="31" spans="1:12" x14ac:dyDescent="0.25">
      <c r="A31" s="3" t="s">
        <v>63</v>
      </c>
      <c r="B31" s="3">
        <v>31</v>
      </c>
      <c r="C31" s="3" t="s">
        <v>134</v>
      </c>
    </row>
    <row r="32" spans="1:12" x14ac:dyDescent="0.25">
      <c r="A32" s="3" t="s">
        <v>63</v>
      </c>
      <c r="B32" s="3">
        <v>31</v>
      </c>
      <c r="C32" s="3" t="s">
        <v>134</v>
      </c>
    </row>
    <row r="33" spans="1:4" x14ac:dyDescent="0.25">
      <c r="A33" s="12" t="s">
        <v>62</v>
      </c>
      <c r="B33" s="12">
        <v>32</v>
      </c>
      <c r="C33" s="12" t="s">
        <v>134</v>
      </c>
      <c r="D33" s="12"/>
    </row>
    <row r="34" spans="1:4" x14ac:dyDescent="0.25">
      <c r="A34" s="11" t="s">
        <v>63</v>
      </c>
      <c r="B34" s="11">
        <v>32</v>
      </c>
      <c r="C34" s="11" t="s">
        <v>134</v>
      </c>
      <c r="D34" s="11"/>
    </row>
    <row r="35" spans="1:4" x14ac:dyDescent="0.25">
      <c r="A35" s="3" t="s">
        <v>63</v>
      </c>
      <c r="B35" s="3">
        <v>32</v>
      </c>
      <c r="C35" s="3" t="s">
        <v>134</v>
      </c>
    </row>
    <row r="36" spans="1:4" x14ac:dyDescent="0.25">
      <c r="A36" s="3" t="s">
        <v>63</v>
      </c>
      <c r="B36" s="3">
        <v>32</v>
      </c>
      <c r="C36" s="3">
        <v>2</v>
      </c>
    </row>
    <row r="37" spans="1:4" x14ac:dyDescent="0.25">
      <c r="A37" s="3" t="s">
        <v>62</v>
      </c>
      <c r="B37" s="3">
        <v>33</v>
      </c>
      <c r="C37" s="3">
        <v>1</v>
      </c>
    </row>
    <row r="38" spans="1:4" x14ac:dyDescent="0.25">
      <c r="A38" s="10" t="s">
        <v>62</v>
      </c>
      <c r="B38" s="10">
        <v>34</v>
      </c>
      <c r="C38" s="10" t="s">
        <v>134</v>
      </c>
      <c r="D38" s="10"/>
    </row>
    <row r="39" spans="1:4" x14ac:dyDescent="0.25">
      <c r="A39" s="3" t="s">
        <v>63</v>
      </c>
      <c r="B39" s="5">
        <v>34</v>
      </c>
      <c r="C39" s="3" t="s">
        <v>134</v>
      </c>
    </row>
    <row r="40" spans="1:4" x14ac:dyDescent="0.25">
      <c r="A40" s="13" t="s">
        <v>63</v>
      </c>
      <c r="B40" s="13">
        <v>34</v>
      </c>
      <c r="C40" s="13" t="s">
        <v>134</v>
      </c>
      <c r="D40" s="13"/>
    </row>
    <row r="41" spans="1:4" x14ac:dyDescent="0.25">
      <c r="A41" s="8" t="s">
        <v>63</v>
      </c>
      <c r="B41" s="7">
        <v>35</v>
      </c>
      <c r="C41" s="8">
        <v>1</v>
      </c>
      <c r="D41" s="8"/>
    </row>
    <row r="42" spans="1:4" x14ac:dyDescent="0.25">
      <c r="A42" s="9" t="s">
        <v>62</v>
      </c>
      <c r="B42" s="9">
        <v>36</v>
      </c>
      <c r="C42" s="9">
        <v>1</v>
      </c>
      <c r="D42" s="9"/>
    </row>
    <row r="43" spans="1:4" x14ac:dyDescent="0.25">
      <c r="A43" s="3" t="s">
        <v>62</v>
      </c>
      <c r="B43" s="3">
        <v>36</v>
      </c>
      <c r="C43" s="3" t="s">
        <v>145</v>
      </c>
    </row>
    <row r="44" spans="1:4" x14ac:dyDescent="0.25">
      <c r="A44" s="3" t="s">
        <v>63</v>
      </c>
      <c r="B44" s="3">
        <v>36</v>
      </c>
      <c r="C44" s="3">
        <v>1</v>
      </c>
    </row>
    <row r="45" spans="1:4" x14ac:dyDescent="0.25">
      <c r="A45" s="3" t="s">
        <v>63</v>
      </c>
      <c r="B45" s="3">
        <v>36</v>
      </c>
      <c r="C45" s="3" t="s">
        <v>134</v>
      </c>
    </row>
    <row r="46" spans="1:4" x14ac:dyDescent="0.25">
      <c r="A46" s="3" t="s">
        <v>63</v>
      </c>
      <c r="B46" s="3">
        <v>36</v>
      </c>
      <c r="C46" s="3" t="s">
        <v>134</v>
      </c>
    </row>
    <row r="47" spans="1:4" x14ac:dyDescent="0.25">
      <c r="A47" s="4" t="s">
        <v>63</v>
      </c>
      <c r="B47" s="4">
        <v>38</v>
      </c>
      <c r="C47" s="4" t="s">
        <v>134</v>
      </c>
      <c r="D47" s="4"/>
    </row>
    <row r="48" spans="1:4" x14ac:dyDescent="0.25">
      <c r="A48" s="3" t="s">
        <v>62</v>
      </c>
      <c r="B48" s="3">
        <v>39</v>
      </c>
      <c r="C48" s="3">
        <v>1</v>
      </c>
    </row>
    <row r="49" spans="1:4" x14ac:dyDescent="0.25">
      <c r="A49" s="16" t="s">
        <v>63</v>
      </c>
      <c r="B49" s="16">
        <v>39</v>
      </c>
      <c r="C49" s="16" t="s">
        <v>145</v>
      </c>
      <c r="D49" s="16"/>
    </row>
    <row r="50" spans="1:4" x14ac:dyDescent="0.25">
      <c r="A50" s="3" t="s">
        <v>62</v>
      </c>
      <c r="B50" s="3">
        <v>40</v>
      </c>
      <c r="C50" s="3">
        <v>1</v>
      </c>
    </row>
    <row r="51" spans="1:4" x14ac:dyDescent="0.25">
      <c r="A51" s="8" t="s">
        <v>62</v>
      </c>
      <c r="B51" s="8">
        <v>40</v>
      </c>
      <c r="C51" s="8" t="s">
        <v>134</v>
      </c>
      <c r="D51" s="8"/>
    </row>
    <row r="52" spans="1:4" x14ac:dyDescent="0.25">
      <c r="A52" s="3" t="s">
        <v>62</v>
      </c>
      <c r="B52" s="3">
        <v>40</v>
      </c>
      <c r="C52" s="3">
        <v>1</v>
      </c>
    </row>
    <row r="53" spans="1:4" x14ac:dyDescent="0.25">
      <c r="A53" s="14" t="s">
        <v>63</v>
      </c>
      <c r="B53" s="14">
        <v>40</v>
      </c>
      <c r="C53" s="14" t="s">
        <v>134</v>
      </c>
      <c r="D53" s="14"/>
    </row>
    <row r="54" spans="1:4" x14ac:dyDescent="0.25">
      <c r="A54" s="2" t="s">
        <v>62</v>
      </c>
      <c r="B54" s="2">
        <v>41</v>
      </c>
      <c r="C54" s="3">
        <v>2</v>
      </c>
    </row>
    <row r="55" spans="1:4" x14ac:dyDescent="0.25">
      <c r="A55" s="3" t="s">
        <v>62</v>
      </c>
      <c r="B55" s="3">
        <v>41</v>
      </c>
      <c r="C55" s="3" t="s">
        <v>145</v>
      </c>
    </row>
    <row r="56" spans="1:4" x14ac:dyDescent="0.25">
      <c r="A56" s="3" t="s">
        <v>62</v>
      </c>
      <c r="B56" s="3">
        <v>41</v>
      </c>
      <c r="C56" s="3">
        <v>1</v>
      </c>
    </row>
    <row r="57" spans="1:4" x14ac:dyDescent="0.25">
      <c r="A57" s="3" t="s">
        <v>62</v>
      </c>
      <c r="B57" s="3">
        <v>42</v>
      </c>
      <c r="C57" s="3">
        <v>1</v>
      </c>
    </row>
    <row r="58" spans="1:4" x14ac:dyDescent="0.25">
      <c r="A58" s="4" t="s">
        <v>62</v>
      </c>
      <c r="B58" s="4">
        <v>43</v>
      </c>
      <c r="C58" s="4" t="s">
        <v>134</v>
      </c>
      <c r="D58" s="4"/>
    </row>
    <row r="59" spans="1:4" x14ac:dyDescent="0.25">
      <c r="A59" s="3" t="s">
        <v>63</v>
      </c>
      <c r="B59" s="3">
        <v>44</v>
      </c>
      <c r="C59" s="3" t="s">
        <v>134</v>
      </c>
    </row>
    <row r="60" spans="1:4" x14ac:dyDescent="0.25">
      <c r="A60" s="3" t="s">
        <v>63</v>
      </c>
      <c r="B60" s="3">
        <v>45</v>
      </c>
      <c r="C60" s="3" t="s">
        <v>134</v>
      </c>
    </row>
    <row r="61" spans="1:4" x14ac:dyDescent="0.25">
      <c r="A61" s="3" t="s">
        <v>63</v>
      </c>
      <c r="B61" s="3">
        <v>50</v>
      </c>
      <c r="C61" s="3">
        <v>2</v>
      </c>
    </row>
    <row r="62" spans="1:4" x14ac:dyDescent="0.25">
      <c r="A62" s="14" t="s">
        <v>62</v>
      </c>
      <c r="B62" s="14">
        <v>51</v>
      </c>
      <c r="C62" s="14" t="s">
        <v>145</v>
      </c>
      <c r="D62" s="14"/>
    </row>
    <row r="63" spans="1:4" x14ac:dyDescent="0.25">
      <c r="A63" s="3" t="s">
        <v>62</v>
      </c>
      <c r="B63" s="3">
        <v>53</v>
      </c>
      <c r="C63" s="3" t="s">
        <v>134</v>
      </c>
    </row>
    <row r="64" spans="1:4" x14ac:dyDescent="0.25">
      <c r="A64" s="11" t="s">
        <v>62</v>
      </c>
      <c r="B64" s="11">
        <v>54</v>
      </c>
      <c r="C64" s="11" t="s">
        <v>134</v>
      </c>
      <c r="D64" s="11"/>
    </row>
    <row r="65" spans="1:4" x14ac:dyDescent="0.25">
      <c r="A65" s="15" t="s">
        <v>63</v>
      </c>
      <c r="B65" s="15">
        <v>55</v>
      </c>
      <c r="C65" s="15" t="s">
        <v>134</v>
      </c>
      <c r="D65" s="15"/>
    </row>
    <row r="66" spans="1:4" x14ac:dyDescent="0.25">
      <c r="A66" s="3" t="s">
        <v>62</v>
      </c>
      <c r="B66" s="3">
        <v>57</v>
      </c>
      <c r="C66" s="3">
        <v>2</v>
      </c>
    </row>
    <row r="67" spans="1:4" x14ac:dyDescent="0.25">
      <c r="A67" s="13" t="s">
        <v>62</v>
      </c>
      <c r="B67" s="13">
        <v>57</v>
      </c>
      <c r="C67" s="13" t="s">
        <v>145</v>
      </c>
      <c r="D67" s="13"/>
    </row>
    <row r="68" spans="1:4" x14ac:dyDescent="0.25">
      <c r="A68" s="3" t="s">
        <v>63</v>
      </c>
      <c r="B68" s="3">
        <v>58</v>
      </c>
      <c r="C68" s="3">
        <v>2</v>
      </c>
    </row>
    <row r="69" spans="1:4" x14ac:dyDescent="0.25">
      <c r="A69" s="3" t="s">
        <v>63</v>
      </c>
      <c r="B69" s="3">
        <v>65</v>
      </c>
      <c r="C69" s="3" t="s">
        <v>134</v>
      </c>
    </row>
    <row r="70" spans="1:4" x14ac:dyDescent="0.25">
      <c r="A70" s="3" t="s">
        <v>62</v>
      </c>
      <c r="B70" s="3">
        <v>66</v>
      </c>
      <c r="C70" s="3" t="s">
        <v>134</v>
      </c>
    </row>
    <row r="71" spans="1:4" ht="15.75" x14ac:dyDescent="0.25">
      <c r="A71" s="17"/>
      <c r="B71" s="17"/>
      <c r="C71" s="19"/>
      <c r="D71" s="19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opLeftCell="A40" workbookViewId="0">
      <selection activeCell="I58" sqref="I58"/>
    </sheetView>
  </sheetViews>
  <sheetFormatPr defaultRowHeight="15" x14ac:dyDescent="0.25"/>
  <cols>
    <col min="1" max="1" width="11.28515625" style="3" bestFit="1" customWidth="1"/>
    <col min="2" max="2" width="25.5703125" style="3" bestFit="1" customWidth="1"/>
    <col min="3" max="3" width="11" style="20" bestFit="1" customWidth="1"/>
    <col min="4" max="4" width="23.85546875" bestFit="1" customWidth="1"/>
    <col min="5" max="5" width="27" bestFit="1" customWidth="1"/>
    <col min="6" max="6" width="15.85546875" bestFit="1" customWidth="1"/>
    <col min="7" max="7" width="10.28515625" bestFit="1" customWidth="1"/>
    <col min="8" max="8" width="15.42578125" bestFit="1" customWidth="1"/>
    <col min="10" max="10" width="13.140625" bestFit="1" customWidth="1"/>
    <col min="11" max="11" width="16.140625" bestFit="1" customWidth="1"/>
    <col min="12" max="12" width="16.85546875" bestFit="1" customWidth="1"/>
    <col min="13" max="13" width="15.5703125" bestFit="1" customWidth="1"/>
  </cols>
  <sheetData>
    <row r="1" spans="1:11" x14ac:dyDescent="0.25">
      <c r="A1" s="1" t="s">
        <v>64</v>
      </c>
      <c r="B1" s="18" t="s">
        <v>55</v>
      </c>
      <c r="C1" s="81" t="s">
        <v>191</v>
      </c>
      <c r="D1" s="49"/>
      <c r="E1" s="49" t="s">
        <v>76</v>
      </c>
      <c r="F1" s="49" t="s">
        <v>69</v>
      </c>
      <c r="G1" s="49" t="s">
        <v>77</v>
      </c>
      <c r="H1" s="49" t="s">
        <v>69</v>
      </c>
      <c r="I1" s="49" t="s">
        <v>127</v>
      </c>
      <c r="J1" s="49" t="s">
        <v>69</v>
      </c>
    </row>
    <row r="2" spans="1:11" x14ac:dyDescent="0.25">
      <c r="A2" s="2" t="s">
        <v>62</v>
      </c>
      <c r="B2" s="3" t="s">
        <v>59</v>
      </c>
      <c r="C2" s="82" t="s">
        <v>160</v>
      </c>
      <c r="D2" s="49" t="s">
        <v>59</v>
      </c>
      <c r="E2" s="49">
        <f>COUNTIFS($B$2:$B$70, "Never", $A$2:$A$70,"Male")</f>
        <v>6</v>
      </c>
      <c r="F2" s="50">
        <f>E2/32*100</f>
        <v>18.75</v>
      </c>
      <c r="G2" s="49">
        <f>COUNTIFS($B$2:$B$70, "Never", $A$2:$A$70,"Female")</f>
        <v>30</v>
      </c>
      <c r="H2" s="50">
        <f>G2/37*100</f>
        <v>81.081081081081081</v>
      </c>
      <c r="I2" s="49">
        <v>36</v>
      </c>
      <c r="J2" s="50">
        <f>I2/69*100</f>
        <v>52.173913043478258</v>
      </c>
    </row>
    <row r="3" spans="1:11" x14ac:dyDescent="0.25">
      <c r="A3" s="3" t="s">
        <v>62</v>
      </c>
      <c r="B3" s="3" t="s">
        <v>161</v>
      </c>
      <c r="C3" s="83" t="s">
        <v>188</v>
      </c>
      <c r="D3" s="49" t="s">
        <v>161</v>
      </c>
      <c r="E3" s="49">
        <f>COUNTIFS($B$2:$B$70, "Smoking", $A$2:$A$70,"Male")</f>
        <v>21</v>
      </c>
      <c r="F3" s="50">
        <f t="shared" ref="F3:F5" si="0">E3/32*100</f>
        <v>65.625</v>
      </c>
      <c r="G3" s="49">
        <f>COUNTIFS($B$2:$B$70, "Smoking", $A$2:$A$70,"Female")</f>
        <v>7</v>
      </c>
      <c r="H3" s="50">
        <f t="shared" ref="H3:H5" si="1">G3/37*100</f>
        <v>18.918918918918919</v>
      </c>
      <c r="I3" s="49">
        <v>28</v>
      </c>
      <c r="J3" s="50">
        <f t="shared" ref="J3:J5" si="2">I3/69*100</f>
        <v>40.579710144927539</v>
      </c>
    </row>
    <row r="4" spans="1:11" x14ac:dyDescent="0.25">
      <c r="A4" s="4" t="s">
        <v>63</v>
      </c>
      <c r="B4" s="4" t="s">
        <v>59</v>
      </c>
      <c r="C4" s="21" t="s">
        <v>160</v>
      </c>
      <c r="D4" s="49" t="s">
        <v>61</v>
      </c>
      <c r="E4" s="49">
        <f>COUNTIFS($B$2:$B$70, "Former", $A$2:$A$70,"Male")</f>
        <v>5</v>
      </c>
      <c r="F4" s="50">
        <f t="shared" si="0"/>
        <v>15.625</v>
      </c>
      <c r="G4" s="49">
        <f>COUNTIFS($B$2:$B$70, "Former", $A$2:$A$70,"Female")</f>
        <v>0</v>
      </c>
      <c r="H4" s="50">
        <f t="shared" si="1"/>
        <v>0</v>
      </c>
      <c r="I4" s="49">
        <v>5</v>
      </c>
      <c r="J4" s="50">
        <f t="shared" si="2"/>
        <v>7.2463768115942031</v>
      </c>
    </row>
    <row r="5" spans="1:11" x14ac:dyDescent="0.25">
      <c r="A5" s="4" t="s">
        <v>62</v>
      </c>
      <c r="B5" s="4" t="s">
        <v>59</v>
      </c>
      <c r="C5" s="21" t="s">
        <v>189</v>
      </c>
      <c r="D5" s="49"/>
      <c r="E5" s="49">
        <f>SUM(E2:E4)</f>
        <v>32</v>
      </c>
      <c r="F5" s="49">
        <f t="shared" si="0"/>
        <v>100</v>
      </c>
      <c r="G5" s="49">
        <f>SUM(G2:G4)</f>
        <v>37</v>
      </c>
      <c r="H5" s="49">
        <f t="shared" si="1"/>
        <v>100</v>
      </c>
      <c r="I5" s="49">
        <f>SUM(I2:I4)</f>
        <v>69</v>
      </c>
      <c r="J5" s="49">
        <f t="shared" si="2"/>
        <v>100</v>
      </c>
    </row>
    <row r="6" spans="1:11" x14ac:dyDescent="0.25">
      <c r="A6" s="4" t="s">
        <v>63</v>
      </c>
      <c r="B6" s="4" t="s">
        <v>59</v>
      </c>
      <c r="C6" s="21" t="s">
        <v>188</v>
      </c>
    </row>
    <row r="7" spans="1:11" x14ac:dyDescent="0.25">
      <c r="A7" s="3" t="s">
        <v>63</v>
      </c>
      <c r="B7" s="3" t="s">
        <v>59</v>
      </c>
      <c r="C7" s="20" t="s">
        <v>160</v>
      </c>
      <c r="D7" s="49"/>
      <c r="E7" s="49" t="s">
        <v>59</v>
      </c>
      <c r="F7" s="49" t="s">
        <v>161</v>
      </c>
      <c r="G7" s="49" t="s">
        <v>61</v>
      </c>
    </row>
    <row r="8" spans="1:11" x14ac:dyDescent="0.25">
      <c r="A8" s="6" t="s">
        <v>63</v>
      </c>
      <c r="B8" s="6" t="s">
        <v>59</v>
      </c>
      <c r="C8" s="22" t="s">
        <v>189</v>
      </c>
      <c r="D8" s="49" t="s">
        <v>76</v>
      </c>
      <c r="E8" s="50">
        <v>18.75</v>
      </c>
      <c r="F8" s="50">
        <v>65.625</v>
      </c>
      <c r="G8" s="50">
        <v>15.625</v>
      </c>
    </row>
    <row r="9" spans="1:11" x14ac:dyDescent="0.25">
      <c r="A9" s="8" t="s">
        <v>63</v>
      </c>
      <c r="B9" s="8" t="s">
        <v>161</v>
      </c>
      <c r="C9" s="23" t="s">
        <v>190</v>
      </c>
      <c r="D9" s="49" t="s">
        <v>77</v>
      </c>
      <c r="E9" s="49">
        <v>81.099999999999994</v>
      </c>
      <c r="F9" s="49">
        <v>18.899999999999999</v>
      </c>
      <c r="G9" s="49">
        <v>9</v>
      </c>
    </row>
    <row r="10" spans="1:11" x14ac:dyDescent="0.25">
      <c r="A10" s="8" t="s">
        <v>63</v>
      </c>
      <c r="B10" s="8" t="s">
        <v>59</v>
      </c>
      <c r="C10" s="23" t="s">
        <v>190</v>
      </c>
    </row>
    <row r="11" spans="1:11" x14ac:dyDescent="0.25">
      <c r="A11" s="8" t="s">
        <v>62</v>
      </c>
      <c r="B11" s="8" t="s">
        <v>61</v>
      </c>
      <c r="C11" s="23" t="s">
        <v>6</v>
      </c>
      <c r="D11" s="49" t="s">
        <v>162</v>
      </c>
      <c r="E11" s="49" t="s">
        <v>188</v>
      </c>
      <c r="F11" s="49" t="s">
        <v>163</v>
      </c>
      <c r="G11" s="49" t="s">
        <v>189</v>
      </c>
      <c r="H11" s="49" t="s">
        <v>160</v>
      </c>
      <c r="I11" s="49" t="s">
        <v>53</v>
      </c>
      <c r="J11" s="49"/>
    </row>
    <row r="12" spans="1:11" x14ac:dyDescent="0.25">
      <c r="A12" s="3" t="s">
        <v>63</v>
      </c>
      <c r="B12" s="3" t="s">
        <v>59</v>
      </c>
      <c r="C12" s="20" t="s">
        <v>190</v>
      </c>
      <c r="D12" s="49" t="s">
        <v>76</v>
      </c>
      <c r="E12" s="49">
        <f>COUNTIFS($C$2:$C$70, "Seldom",$A$2:$A$70,"Male")</f>
        <v>12</v>
      </c>
      <c r="F12" s="49">
        <f>COUNTIFS($C$2:$C$70, "Sometimes",$A$2:$A$70,"Male")</f>
        <v>4</v>
      </c>
      <c r="G12" s="49">
        <f>COUNTIFS($C$2:$C$70, "Always",$A$2:$A$70,"Male")</f>
        <v>3</v>
      </c>
      <c r="H12" s="49">
        <f>COUNTIFS($C$2:$C$70, "No",$A$2:$A$70,"Male")</f>
        <v>12</v>
      </c>
      <c r="I12" s="49">
        <v>1</v>
      </c>
      <c r="J12" s="49">
        <f>SUM(E12:I12)</f>
        <v>32</v>
      </c>
    </row>
    <row r="13" spans="1:11" x14ac:dyDescent="0.25">
      <c r="A13" s="3" t="s">
        <v>63</v>
      </c>
      <c r="B13" s="3" t="s">
        <v>59</v>
      </c>
      <c r="C13" s="20" t="s">
        <v>160</v>
      </c>
      <c r="D13" s="49" t="s">
        <v>164</v>
      </c>
      <c r="E13" s="49">
        <f>COUNTIFS($C$2:$C$70, "Seldom",$A$2:$A$70,"Female")</f>
        <v>12</v>
      </c>
      <c r="F13" s="49">
        <f>COUNTIFS($C$2:$C$70, "Sometimes",$A$2:$A$70,"Female")</f>
        <v>5</v>
      </c>
      <c r="G13" s="49">
        <f>COUNTIFS($C$2:$C$70, "Always",$A$2:$A$70,"Female")</f>
        <v>9</v>
      </c>
      <c r="H13" s="49">
        <f>COUNTIFS($C$2:$C$70, "No",$A$2:$A$70,"Female")</f>
        <v>11</v>
      </c>
      <c r="I13" s="49"/>
      <c r="J13" s="49">
        <f>SUM(E13:H13)</f>
        <v>37</v>
      </c>
    </row>
    <row r="14" spans="1:11" x14ac:dyDescent="0.25">
      <c r="A14" s="4" t="s">
        <v>62</v>
      </c>
      <c r="B14" s="4" t="s">
        <v>161</v>
      </c>
      <c r="C14" s="21" t="s">
        <v>160</v>
      </c>
      <c r="D14" s="49" t="s">
        <v>127</v>
      </c>
      <c r="E14" s="49">
        <v>24</v>
      </c>
      <c r="F14" s="49">
        <v>9</v>
      </c>
      <c r="G14" s="49">
        <v>11</v>
      </c>
      <c r="H14" s="49">
        <v>23</v>
      </c>
      <c r="I14" s="49"/>
      <c r="J14" s="49"/>
    </row>
    <row r="15" spans="1:11" x14ac:dyDescent="0.25">
      <c r="A15" s="9" t="s">
        <v>62</v>
      </c>
      <c r="B15" s="9" t="s">
        <v>161</v>
      </c>
      <c r="C15" s="24" t="s">
        <v>190</v>
      </c>
    </row>
    <row r="16" spans="1:11" x14ac:dyDescent="0.25">
      <c r="A16" s="9" t="s">
        <v>63</v>
      </c>
      <c r="B16" s="9" t="s">
        <v>59</v>
      </c>
      <c r="C16" s="24" t="s">
        <v>160</v>
      </c>
      <c r="D16" s="49" t="s">
        <v>165</v>
      </c>
      <c r="E16" s="49"/>
      <c r="F16" s="49"/>
      <c r="G16" s="49"/>
      <c r="H16" s="49"/>
      <c r="I16" s="49"/>
      <c r="J16" s="49"/>
      <c r="K16" s="49"/>
    </row>
    <row r="17" spans="1:14" x14ac:dyDescent="0.25">
      <c r="A17" s="10" t="s">
        <v>62</v>
      </c>
      <c r="B17" s="10" t="s">
        <v>161</v>
      </c>
      <c r="C17" s="25" t="s">
        <v>188</v>
      </c>
      <c r="D17" s="49" t="s">
        <v>162</v>
      </c>
      <c r="E17" s="49" t="s">
        <v>188</v>
      </c>
      <c r="F17" s="49" t="s">
        <v>163</v>
      </c>
      <c r="G17" s="49" t="s">
        <v>189</v>
      </c>
      <c r="H17" s="49" t="s">
        <v>166</v>
      </c>
      <c r="I17" s="49" t="s">
        <v>53</v>
      </c>
      <c r="J17" s="49" t="s">
        <v>167</v>
      </c>
      <c r="K17" s="49" t="s">
        <v>168</v>
      </c>
      <c r="L17" s="84" t="s">
        <v>169</v>
      </c>
      <c r="M17" s="84" t="s">
        <v>170</v>
      </c>
      <c r="N17" s="84"/>
    </row>
    <row r="18" spans="1:14" x14ac:dyDescent="0.25">
      <c r="A18" s="10" t="s">
        <v>63</v>
      </c>
      <c r="B18" s="10" t="s">
        <v>59</v>
      </c>
      <c r="C18" s="25" t="s">
        <v>189</v>
      </c>
      <c r="D18" s="49" t="s">
        <v>76</v>
      </c>
      <c r="E18" s="49">
        <f>COUNTIFS($C$2:$C$70, "Seldom",$A$2:$A$70,"Male",$B$2:$B$70,"Smoking")</f>
        <v>9</v>
      </c>
      <c r="F18" s="49">
        <f>COUNTIFS($C$2:$C$70, "Sometimes",$A$2:$A$70,"Male",$B$2:$B$70,"Smoking")</f>
        <v>4</v>
      </c>
      <c r="G18" s="49">
        <f>COUNTIFS($C$2:$C$70, "Always",$A$2:$A$70,"Male",$B$2:$B$70,"Smoking")</f>
        <v>2</v>
      </c>
      <c r="H18" s="49">
        <f>COUNTIFS($C$2:$C$70, "No",$A$2:$A$70,"Male",$B$2:$B$70,"Smoking")</f>
        <v>6</v>
      </c>
      <c r="I18" s="49">
        <v>1</v>
      </c>
      <c r="J18" s="49">
        <f>SUM(E18:G18)</f>
        <v>15</v>
      </c>
      <c r="K18" s="49">
        <f>COUNTIFS($C$2:$C$70, "No",$A$2:$A$70,"Male",$B$2:$B$70,"Never")</f>
        <v>4</v>
      </c>
      <c r="L18" s="49">
        <f>COUNTIFS($C$2:$C$70, "No",$A$2:$A$70,"Male",$B$2:$B$70,"Former")</f>
        <v>2</v>
      </c>
      <c r="M18" s="49"/>
    </row>
    <row r="19" spans="1:14" x14ac:dyDescent="0.25">
      <c r="A19" s="3" t="s">
        <v>63</v>
      </c>
      <c r="B19" s="3" t="s">
        <v>161</v>
      </c>
      <c r="C19" s="20" t="s">
        <v>160</v>
      </c>
      <c r="D19" s="49" t="s">
        <v>164</v>
      </c>
      <c r="E19" s="49">
        <f>COUNTIFS($C$2:$C$70, "Seldom",$A$2:$A$70,"Female",$B$2:$B$70,"Smoking")</f>
        <v>3</v>
      </c>
      <c r="F19" s="49">
        <f>COUNTIFS($C$2:$C$70, "Sometimes",$A$2:$A$70,"Female",$B$2:$B$70,"Smoking")</f>
        <v>1</v>
      </c>
      <c r="G19" s="49">
        <f>COUNTIFS($C$2:$C$70, "Always",$A$2:$A$70,"Female",$B$2:$B$70,"Smoking")</f>
        <v>2</v>
      </c>
      <c r="H19" s="49">
        <f>COUNTIFS($C$2:$C$70, "No",$A$2:$A$70,"Female",$B$2:$B$70,"Smoking")</f>
        <v>1</v>
      </c>
      <c r="I19" s="49" t="s">
        <v>53</v>
      </c>
      <c r="J19" s="49">
        <v>6</v>
      </c>
      <c r="K19" s="49"/>
    </row>
    <row r="20" spans="1:14" x14ac:dyDescent="0.25">
      <c r="A20" s="3" t="s">
        <v>63</v>
      </c>
      <c r="B20" s="3" t="s">
        <v>59</v>
      </c>
      <c r="C20" s="20" t="s">
        <v>188</v>
      </c>
      <c r="D20" s="85" t="s">
        <v>171</v>
      </c>
      <c r="E20" s="49"/>
      <c r="F20" s="49"/>
      <c r="G20" s="49"/>
      <c r="H20" s="49" t="s">
        <v>172</v>
      </c>
    </row>
    <row r="21" spans="1:14" x14ac:dyDescent="0.25">
      <c r="A21" s="3" t="s">
        <v>62</v>
      </c>
      <c r="B21" s="3" t="s">
        <v>161</v>
      </c>
      <c r="C21" s="20" t="s">
        <v>160</v>
      </c>
      <c r="D21" s="85" t="s">
        <v>77</v>
      </c>
      <c r="E21" s="49">
        <f>COUNTIFS($C$2:$C$70, "Seldom",$A$2:$A$70,"Female",$B$2:$B$70,"Never")</f>
        <v>9</v>
      </c>
      <c r="F21" s="49">
        <f>COUNTIFS($C$2:$C$70, "Sometimes",$A$2:$A$70,"Female",$B$2:$B$70,"Never")</f>
        <v>4</v>
      </c>
      <c r="G21" s="49">
        <f>COUNTIFS($C$2:$C$70, "Always",$A$2:$A$70,"Female",$B$2:$B$70,"Never")</f>
        <v>7</v>
      </c>
      <c r="H21" s="49">
        <v>20</v>
      </c>
    </row>
    <row r="22" spans="1:14" x14ac:dyDescent="0.25">
      <c r="A22" s="3" t="s">
        <v>62</v>
      </c>
      <c r="B22" s="3" t="s">
        <v>161</v>
      </c>
      <c r="C22" s="20" t="s">
        <v>188</v>
      </c>
      <c r="D22" s="85" t="s">
        <v>76</v>
      </c>
      <c r="E22" s="49">
        <f>COUNTIFS($C$2:$C$70, "Seldom",$A$2:$A$70,"Male",$B$2:$B$70,"Never")</f>
        <v>1</v>
      </c>
      <c r="F22" s="49">
        <f>COUNTIFS($C$2:$C$70, "Sometimes",$A$2:$A$70,"Male",$B$2:$B$70,"Never")</f>
        <v>0</v>
      </c>
      <c r="G22" s="49">
        <f>COUNTIFS($C$2:$C$70, "Always",$A$2:$A$70,"Male",$B$2:$B$70,"Never")</f>
        <v>1</v>
      </c>
      <c r="H22" s="49">
        <v>2</v>
      </c>
    </row>
    <row r="23" spans="1:14" x14ac:dyDescent="0.25">
      <c r="A23" s="3" t="s">
        <v>62</v>
      </c>
      <c r="B23" s="3" t="s">
        <v>61</v>
      </c>
      <c r="C23" s="20" t="s">
        <v>160</v>
      </c>
    </row>
    <row r="24" spans="1:14" x14ac:dyDescent="0.25">
      <c r="A24" s="11" t="s">
        <v>62</v>
      </c>
      <c r="B24" s="11" t="s">
        <v>59</v>
      </c>
      <c r="C24" s="26" t="s">
        <v>160</v>
      </c>
      <c r="D24" s="49" t="s">
        <v>76</v>
      </c>
      <c r="E24" s="49" t="s">
        <v>173</v>
      </c>
      <c r="F24" s="85">
        <v>15</v>
      </c>
    </row>
    <row r="25" spans="1:14" x14ac:dyDescent="0.25">
      <c r="A25" s="11" t="s">
        <v>63</v>
      </c>
      <c r="B25" s="11" t="s">
        <v>59</v>
      </c>
      <c r="C25" s="26" t="s">
        <v>160</v>
      </c>
      <c r="D25" s="49"/>
      <c r="E25" s="49" t="s">
        <v>174</v>
      </c>
      <c r="F25" s="85">
        <v>2</v>
      </c>
    </row>
    <row r="26" spans="1:14" x14ac:dyDescent="0.25">
      <c r="A26" s="3" t="s">
        <v>62</v>
      </c>
      <c r="B26" s="3" t="s">
        <v>161</v>
      </c>
      <c r="C26" s="20" t="s">
        <v>160</v>
      </c>
      <c r="D26" s="49"/>
      <c r="E26" s="49" t="s">
        <v>175</v>
      </c>
      <c r="F26" s="85">
        <v>3</v>
      </c>
    </row>
    <row r="27" spans="1:14" x14ac:dyDescent="0.25">
      <c r="A27" s="12" t="s">
        <v>62</v>
      </c>
      <c r="B27" s="12" t="s">
        <v>161</v>
      </c>
      <c r="C27" s="27" t="s">
        <v>190</v>
      </c>
      <c r="D27" s="49"/>
      <c r="E27" s="49" t="s">
        <v>176</v>
      </c>
      <c r="F27" s="49">
        <f>COUNTIFS($C$2:$C$70, "No",$A$2:$A$70,"Male",$B$2:$B$70,"Never")</f>
        <v>4</v>
      </c>
    </row>
    <row r="28" spans="1:14" x14ac:dyDescent="0.25">
      <c r="A28" s="12" t="s">
        <v>63</v>
      </c>
      <c r="B28" s="12" t="s">
        <v>59</v>
      </c>
      <c r="C28" s="27" t="s">
        <v>190</v>
      </c>
      <c r="D28" s="49"/>
      <c r="E28" s="49" t="s">
        <v>177</v>
      </c>
      <c r="F28" s="49">
        <f>COUNTIFS($C$2:$C$70, "No",$A$2:$A$70,"Male",$B$2:$B$70,"Smoking")</f>
        <v>6</v>
      </c>
    </row>
    <row r="29" spans="1:14" x14ac:dyDescent="0.25">
      <c r="A29" s="3" t="s">
        <v>62</v>
      </c>
      <c r="B29" s="3" t="s">
        <v>161</v>
      </c>
      <c r="C29" s="20" t="s">
        <v>188</v>
      </c>
      <c r="D29" s="49"/>
      <c r="E29" s="85" t="s">
        <v>178</v>
      </c>
      <c r="F29" s="85">
        <v>2</v>
      </c>
    </row>
    <row r="30" spans="1:14" x14ac:dyDescent="0.25">
      <c r="A30" s="13" t="s">
        <v>62</v>
      </c>
      <c r="B30" s="13" t="s">
        <v>161</v>
      </c>
      <c r="C30" s="28" t="s">
        <v>190</v>
      </c>
      <c r="D30" s="49"/>
      <c r="E30" s="85" t="s">
        <v>73</v>
      </c>
      <c r="F30" s="49">
        <f>SUM(F24:F29)</f>
        <v>32</v>
      </c>
    </row>
    <row r="31" spans="1:14" x14ac:dyDescent="0.25">
      <c r="A31" s="13" t="s">
        <v>63</v>
      </c>
      <c r="B31" s="13" t="s">
        <v>59</v>
      </c>
      <c r="C31" s="28" t="s">
        <v>190</v>
      </c>
      <c r="D31" s="49" t="s">
        <v>77</v>
      </c>
      <c r="E31" s="49" t="s">
        <v>173</v>
      </c>
      <c r="F31" s="49">
        <v>6</v>
      </c>
    </row>
    <row r="32" spans="1:14" x14ac:dyDescent="0.25">
      <c r="A32" s="3" t="s">
        <v>62</v>
      </c>
      <c r="B32" s="3" t="s">
        <v>61</v>
      </c>
      <c r="C32" s="20" t="s">
        <v>188</v>
      </c>
      <c r="D32" s="49"/>
      <c r="E32" s="49" t="s">
        <v>174</v>
      </c>
      <c r="F32" s="49">
        <v>20</v>
      </c>
    </row>
    <row r="33" spans="1:8" x14ac:dyDescent="0.25">
      <c r="A33" s="3" t="s">
        <v>62</v>
      </c>
      <c r="B33" s="3" t="s">
        <v>161</v>
      </c>
      <c r="C33" s="20" t="s">
        <v>160</v>
      </c>
      <c r="D33" s="49"/>
      <c r="E33" s="49" t="s">
        <v>176</v>
      </c>
      <c r="F33" s="49">
        <v>10</v>
      </c>
    </row>
    <row r="34" spans="1:8" x14ac:dyDescent="0.25">
      <c r="A34" s="3" t="s">
        <v>63</v>
      </c>
      <c r="B34" s="3" t="s">
        <v>161</v>
      </c>
      <c r="C34" s="20" t="s">
        <v>188</v>
      </c>
      <c r="D34" s="49"/>
      <c r="E34" s="49" t="s">
        <v>177</v>
      </c>
      <c r="F34" s="49">
        <v>1</v>
      </c>
    </row>
    <row r="35" spans="1:8" x14ac:dyDescent="0.25">
      <c r="A35" s="3" t="s">
        <v>63</v>
      </c>
      <c r="B35" s="3" t="s">
        <v>59</v>
      </c>
      <c r="C35" s="20" t="s">
        <v>188</v>
      </c>
      <c r="D35" s="49"/>
      <c r="E35" s="49" t="s">
        <v>73</v>
      </c>
      <c r="F35" s="85">
        <v>37</v>
      </c>
    </row>
    <row r="36" spans="1:8" x14ac:dyDescent="0.25">
      <c r="A36" s="3" t="s">
        <v>63</v>
      </c>
      <c r="B36" s="3" t="s">
        <v>59</v>
      </c>
      <c r="C36" s="20" t="s">
        <v>188</v>
      </c>
    </row>
    <row r="37" spans="1:8" x14ac:dyDescent="0.25">
      <c r="A37" s="3" t="s">
        <v>63</v>
      </c>
      <c r="B37" s="3" t="s">
        <v>59</v>
      </c>
      <c r="C37" s="20" t="s">
        <v>160</v>
      </c>
      <c r="D37" s="86" t="s">
        <v>64</v>
      </c>
      <c r="E37" s="87" t="s">
        <v>179</v>
      </c>
      <c r="F37" s="86" t="s">
        <v>55</v>
      </c>
      <c r="G37" s="88" t="s">
        <v>68</v>
      </c>
      <c r="H37" t="s">
        <v>69</v>
      </c>
    </row>
    <row r="38" spans="1:8" ht="15.75" thickBot="1" x14ac:dyDescent="0.3">
      <c r="A38" s="3" t="s">
        <v>63</v>
      </c>
      <c r="B38" s="3" t="s">
        <v>161</v>
      </c>
      <c r="C38" s="20" t="s">
        <v>189</v>
      </c>
      <c r="D38" s="89" t="s">
        <v>76</v>
      </c>
      <c r="E38" s="90" t="s">
        <v>180</v>
      </c>
      <c r="F38" s="91" t="s">
        <v>181</v>
      </c>
      <c r="G38" s="92">
        <v>15</v>
      </c>
      <c r="H38" s="48">
        <f t="shared" ref="H38:H43" si="3">G38/32*100</f>
        <v>46.875</v>
      </c>
    </row>
    <row r="39" spans="1:8" ht="15.75" thickBot="1" x14ac:dyDescent="0.3">
      <c r="A39" s="3" t="s">
        <v>62</v>
      </c>
      <c r="B39" s="3" t="s">
        <v>161</v>
      </c>
      <c r="C39" s="20" t="s">
        <v>189</v>
      </c>
      <c r="D39" s="93"/>
      <c r="E39" s="94"/>
      <c r="F39" s="95" t="s">
        <v>182</v>
      </c>
      <c r="G39" s="96">
        <v>2</v>
      </c>
      <c r="H39" s="48">
        <f t="shared" si="3"/>
        <v>6.25</v>
      </c>
    </row>
    <row r="40" spans="1:8" ht="15.75" thickBot="1" x14ac:dyDescent="0.3">
      <c r="A40" s="3" t="s">
        <v>63</v>
      </c>
      <c r="B40" s="3" t="s">
        <v>59</v>
      </c>
      <c r="C40" s="20" t="s">
        <v>160</v>
      </c>
      <c r="D40" s="89"/>
      <c r="E40" s="90"/>
      <c r="F40" s="91" t="s">
        <v>183</v>
      </c>
      <c r="G40" s="92">
        <v>3</v>
      </c>
      <c r="H40" s="48">
        <f t="shared" si="3"/>
        <v>9.375</v>
      </c>
    </row>
    <row r="41" spans="1:8" ht="15.75" thickBot="1" x14ac:dyDescent="0.3">
      <c r="A41" s="3" t="s">
        <v>63</v>
      </c>
      <c r="B41" s="3" t="s">
        <v>161</v>
      </c>
      <c r="C41" s="20" t="s">
        <v>188</v>
      </c>
      <c r="D41" s="93"/>
      <c r="E41" s="94" t="s">
        <v>184</v>
      </c>
      <c r="F41" s="95" t="s">
        <v>181</v>
      </c>
      <c r="G41" s="96">
        <v>6</v>
      </c>
      <c r="H41" s="48">
        <f t="shared" si="3"/>
        <v>18.75</v>
      </c>
    </row>
    <row r="42" spans="1:8" ht="15.75" thickBot="1" x14ac:dyDescent="0.3">
      <c r="A42" s="14" t="s">
        <v>62</v>
      </c>
      <c r="B42" s="14" t="s">
        <v>161</v>
      </c>
      <c r="C42" s="29" t="s">
        <v>189</v>
      </c>
      <c r="D42" s="89"/>
      <c r="E42" s="90"/>
      <c r="F42" s="91" t="s">
        <v>182</v>
      </c>
      <c r="G42" s="92">
        <v>4</v>
      </c>
      <c r="H42" s="48">
        <f t="shared" si="3"/>
        <v>12.5</v>
      </c>
    </row>
    <row r="43" spans="1:8" ht="15.75" thickBot="1" x14ac:dyDescent="0.3">
      <c r="A43" s="14" t="s">
        <v>63</v>
      </c>
      <c r="B43" s="14" t="s">
        <v>59</v>
      </c>
      <c r="C43" s="29" t="s">
        <v>189</v>
      </c>
      <c r="D43" s="93"/>
      <c r="E43" s="94"/>
      <c r="F43" s="95" t="s">
        <v>183</v>
      </c>
      <c r="G43" s="96">
        <v>2</v>
      </c>
      <c r="H43" s="48">
        <f t="shared" si="3"/>
        <v>6.25</v>
      </c>
    </row>
    <row r="44" spans="1:8" ht="15.75" thickBot="1" x14ac:dyDescent="0.3">
      <c r="A44" s="3" t="s">
        <v>62</v>
      </c>
      <c r="B44" s="3" t="s">
        <v>61</v>
      </c>
      <c r="C44" s="20" t="s">
        <v>160</v>
      </c>
      <c r="D44" s="93" t="s">
        <v>77</v>
      </c>
      <c r="E44" s="94" t="s">
        <v>180</v>
      </c>
      <c r="F44" s="95" t="s">
        <v>185</v>
      </c>
      <c r="G44" s="96">
        <v>6</v>
      </c>
      <c r="H44" s="48">
        <f>G44/37*100</f>
        <v>16.216216216216218</v>
      </c>
    </row>
    <row r="45" spans="1:8" ht="15.75" thickBot="1" x14ac:dyDescent="0.3">
      <c r="A45" s="3" t="s">
        <v>62</v>
      </c>
      <c r="B45" s="3" t="s">
        <v>161</v>
      </c>
      <c r="C45" s="97" t="s">
        <v>160</v>
      </c>
      <c r="D45" s="89"/>
      <c r="E45" s="90"/>
      <c r="F45" s="91" t="s">
        <v>186</v>
      </c>
      <c r="G45" s="92">
        <v>20</v>
      </c>
      <c r="H45" s="48">
        <f>G45/37*100</f>
        <v>54.054054054054056</v>
      </c>
    </row>
    <row r="46" spans="1:8" ht="15.75" thickBot="1" x14ac:dyDescent="0.3">
      <c r="A46" s="3" t="s">
        <v>62</v>
      </c>
      <c r="B46" s="3" t="s">
        <v>161</v>
      </c>
      <c r="C46" s="20" t="s">
        <v>188</v>
      </c>
      <c r="D46" s="93"/>
      <c r="E46" s="94" t="s">
        <v>184</v>
      </c>
      <c r="F46" s="95" t="s">
        <v>185</v>
      </c>
      <c r="G46" s="96">
        <v>1</v>
      </c>
      <c r="H46" s="48">
        <f>G46/37*100</f>
        <v>2.7027027027027026</v>
      </c>
    </row>
    <row r="47" spans="1:8" ht="15.75" thickBot="1" x14ac:dyDescent="0.3">
      <c r="A47" s="3" t="s">
        <v>62</v>
      </c>
      <c r="B47" s="3" t="s">
        <v>161</v>
      </c>
      <c r="C47" s="20" t="s">
        <v>188</v>
      </c>
      <c r="D47" s="89"/>
      <c r="E47" s="90"/>
      <c r="F47" s="91" t="s">
        <v>186</v>
      </c>
      <c r="G47" s="92">
        <v>10</v>
      </c>
      <c r="H47" s="48">
        <f>G47/37*100</f>
        <v>27.027027027027028</v>
      </c>
    </row>
    <row r="48" spans="1:8" x14ac:dyDescent="0.25">
      <c r="A48" s="5" t="s">
        <v>62</v>
      </c>
      <c r="B48" s="5" t="s">
        <v>161</v>
      </c>
      <c r="C48" s="30" t="s">
        <v>188</v>
      </c>
    </row>
    <row r="49" spans="1:7" x14ac:dyDescent="0.25">
      <c r="A49" s="15" t="s">
        <v>63</v>
      </c>
      <c r="B49" s="15" t="s">
        <v>59</v>
      </c>
      <c r="C49" s="31" t="s">
        <v>188</v>
      </c>
    </row>
    <row r="50" spans="1:7" x14ac:dyDescent="0.25">
      <c r="A50" s="15" t="s">
        <v>63</v>
      </c>
      <c r="B50" s="15" t="s">
        <v>161</v>
      </c>
      <c r="C50" s="31" t="s">
        <v>188</v>
      </c>
      <c r="D50" t="s">
        <v>187</v>
      </c>
      <c r="E50" t="s">
        <v>180</v>
      </c>
    </row>
    <row r="51" spans="1:7" x14ac:dyDescent="0.25">
      <c r="A51" s="16" t="s">
        <v>63</v>
      </c>
      <c r="B51" s="16" t="s">
        <v>59</v>
      </c>
      <c r="C51" s="32" t="s">
        <v>189</v>
      </c>
    </row>
    <row r="52" spans="1:7" ht="15.75" thickBot="1" x14ac:dyDescent="0.3">
      <c r="A52" s="5" t="s">
        <v>62</v>
      </c>
      <c r="B52" s="5" t="s">
        <v>59</v>
      </c>
      <c r="C52" s="30" t="s">
        <v>160</v>
      </c>
      <c r="D52" s="98" t="s">
        <v>64</v>
      </c>
      <c r="E52" s="99" t="s">
        <v>179</v>
      </c>
      <c r="F52" s="100" t="s">
        <v>55</v>
      </c>
      <c r="G52" s="101" t="s">
        <v>68</v>
      </c>
    </row>
    <row r="53" spans="1:7" ht="16.5" thickTop="1" thickBot="1" x14ac:dyDescent="0.3">
      <c r="A53" s="16" t="s">
        <v>63</v>
      </c>
      <c r="B53" s="16" t="s">
        <v>59</v>
      </c>
      <c r="C53" s="32" t="s">
        <v>189</v>
      </c>
      <c r="D53" s="102" t="s">
        <v>76</v>
      </c>
      <c r="E53" s="103" t="s">
        <v>180</v>
      </c>
      <c r="F53" s="104" t="s">
        <v>181</v>
      </c>
      <c r="G53" s="105">
        <v>15</v>
      </c>
    </row>
    <row r="54" spans="1:7" ht="15.75" thickBot="1" x14ac:dyDescent="0.3">
      <c r="A54" s="3" t="s">
        <v>63</v>
      </c>
      <c r="B54" s="3" t="s">
        <v>59</v>
      </c>
      <c r="C54" s="20" t="s">
        <v>188</v>
      </c>
      <c r="D54" s="106"/>
      <c r="E54" s="107"/>
      <c r="F54" s="108" t="s">
        <v>182</v>
      </c>
      <c r="G54" s="109">
        <v>2</v>
      </c>
    </row>
    <row r="55" spans="1:7" ht="15.75" thickBot="1" x14ac:dyDescent="0.3">
      <c r="A55" s="3" t="s">
        <v>63</v>
      </c>
      <c r="B55" s="3" t="s">
        <v>59</v>
      </c>
      <c r="C55" s="20" t="s">
        <v>160</v>
      </c>
      <c r="D55" s="102"/>
      <c r="E55" s="103"/>
      <c r="F55" s="104" t="s">
        <v>183</v>
      </c>
      <c r="G55" s="105">
        <v>3</v>
      </c>
    </row>
    <row r="56" spans="1:7" ht="15.75" thickBot="1" x14ac:dyDescent="0.3">
      <c r="A56" s="3" t="s">
        <v>62</v>
      </c>
      <c r="B56" s="3" t="s">
        <v>161</v>
      </c>
      <c r="C56" s="20" t="s">
        <v>190</v>
      </c>
      <c r="D56" s="106"/>
      <c r="E56" s="107" t="s">
        <v>184</v>
      </c>
      <c r="F56" s="108" t="s">
        <v>181</v>
      </c>
      <c r="G56" s="109">
        <v>6</v>
      </c>
    </row>
    <row r="57" spans="1:7" ht="15.75" thickBot="1" x14ac:dyDescent="0.3">
      <c r="A57" s="3" t="s">
        <v>63</v>
      </c>
      <c r="B57" s="3" t="s">
        <v>59</v>
      </c>
      <c r="C57" s="20" t="s">
        <v>188</v>
      </c>
      <c r="D57" s="102"/>
      <c r="E57" s="103"/>
      <c r="F57" s="104" t="s">
        <v>182</v>
      </c>
      <c r="G57" s="105">
        <v>4</v>
      </c>
    </row>
    <row r="58" spans="1:7" ht="15.75" thickBot="1" x14ac:dyDescent="0.3">
      <c r="A58" s="3" t="s">
        <v>63</v>
      </c>
      <c r="B58" s="3" t="s">
        <v>59</v>
      </c>
      <c r="C58" s="20" t="s">
        <v>160</v>
      </c>
      <c r="D58" s="106"/>
      <c r="E58" s="107"/>
      <c r="F58" s="108" t="s">
        <v>183</v>
      </c>
      <c r="G58" s="109">
        <v>2</v>
      </c>
    </row>
    <row r="59" spans="1:7" ht="15.75" thickBot="1" x14ac:dyDescent="0.3">
      <c r="A59" s="3" t="s">
        <v>63</v>
      </c>
      <c r="B59" s="3" t="s">
        <v>59</v>
      </c>
      <c r="C59" s="20" t="s">
        <v>189</v>
      </c>
      <c r="D59" s="102"/>
      <c r="E59" s="103"/>
      <c r="F59" s="110" t="s">
        <v>73</v>
      </c>
      <c r="G59" s="111">
        <v>32</v>
      </c>
    </row>
    <row r="60" spans="1:7" ht="15.75" thickBot="1" x14ac:dyDescent="0.3">
      <c r="A60" s="3" t="s">
        <v>62</v>
      </c>
      <c r="B60" s="3" t="s">
        <v>161</v>
      </c>
      <c r="C60" s="20" t="s">
        <v>188</v>
      </c>
      <c r="D60" s="106" t="s">
        <v>77</v>
      </c>
      <c r="E60" s="107" t="s">
        <v>180</v>
      </c>
      <c r="F60" s="108" t="s">
        <v>185</v>
      </c>
      <c r="G60" s="109">
        <v>6</v>
      </c>
    </row>
    <row r="61" spans="1:7" ht="15.75" thickBot="1" x14ac:dyDescent="0.3">
      <c r="A61" s="3" t="s">
        <v>63</v>
      </c>
      <c r="B61" s="3" t="s">
        <v>59</v>
      </c>
      <c r="C61" s="20" t="s">
        <v>188</v>
      </c>
      <c r="D61" s="102"/>
      <c r="E61" s="103"/>
      <c r="F61" s="104" t="s">
        <v>186</v>
      </c>
      <c r="G61" s="105">
        <v>20</v>
      </c>
    </row>
    <row r="62" spans="1:7" ht="15.75" thickBot="1" x14ac:dyDescent="0.3">
      <c r="A62" s="3" t="s">
        <v>62</v>
      </c>
      <c r="B62" s="3" t="s">
        <v>61</v>
      </c>
      <c r="C62" s="20" t="s">
        <v>188</v>
      </c>
      <c r="D62" s="106"/>
      <c r="E62" s="107" t="s">
        <v>184</v>
      </c>
      <c r="F62" s="108" t="s">
        <v>185</v>
      </c>
      <c r="G62" s="109">
        <v>1</v>
      </c>
    </row>
    <row r="63" spans="1:7" ht="15.75" thickBot="1" x14ac:dyDescent="0.3">
      <c r="A63" s="3" t="s">
        <v>63</v>
      </c>
      <c r="B63" s="3" t="s">
        <v>161</v>
      </c>
      <c r="C63" s="20" t="s">
        <v>189</v>
      </c>
      <c r="D63" s="102"/>
      <c r="E63" s="103"/>
      <c r="F63" s="104" t="s">
        <v>186</v>
      </c>
      <c r="G63" s="105">
        <v>10</v>
      </c>
    </row>
    <row r="64" spans="1:7" ht="15.75" thickBot="1" x14ac:dyDescent="0.3">
      <c r="A64" s="3" t="s">
        <v>63</v>
      </c>
      <c r="B64" s="3" t="s">
        <v>59</v>
      </c>
      <c r="C64" s="20" t="s">
        <v>160</v>
      </c>
      <c r="D64" s="106"/>
      <c r="E64" s="107"/>
      <c r="F64" s="112" t="s">
        <v>73</v>
      </c>
      <c r="G64" s="113">
        <v>37</v>
      </c>
    </row>
    <row r="65" spans="1:3" x14ac:dyDescent="0.25">
      <c r="A65" s="3" t="s">
        <v>63</v>
      </c>
      <c r="B65" s="3" t="s">
        <v>59</v>
      </c>
      <c r="C65" s="20" t="s">
        <v>188</v>
      </c>
    </row>
    <row r="66" spans="1:3" x14ac:dyDescent="0.25">
      <c r="A66" s="3" t="s">
        <v>62</v>
      </c>
      <c r="B66" s="3" t="s">
        <v>161</v>
      </c>
      <c r="C66" s="20" t="s">
        <v>160</v>
      </c>
    </row>
    <row r="67" spans="1:3" x14ac:dyDescent="0.25">
      <c r="A67" s="3" t="s">
        <v>62</v>
      </c>
      <c r="B67" s="3" t="s">
        <v>59</v>
      </c>
      <c r="C67" s="20" t="s">
        <v>160</v>
      </c>
    </row>
    <row r="68" spans="1:3" x14ac:dyDescent="0.25">
      <c r="A68" s="3" t="s">
        <v>63</v>
      </c>
      <c r="B68" s="3" t="s">
        <v>59</v>
      </c>
      <c r="C68" s="20" t="s">
        <v>189</v>
      </c>
    </row>
    <row r="69" spans="1:3" x14ac:dyDescent="0.25">
      <c r="A69" s="3" t="s">
        <v>62</v>
      </c>
      <c r="B69" s="3" t="s">
        <v>59</v>
      </c>
      <c r="C69" s="20" t="s">
        <v>188</v>
      </c>
    </row>
    <row r="70" spans="1:3" x14ac:dyDescent="0.25">
      <c r="A70" s="3" t="s">
        <v>62</v>
      </c>
      <c r="B70" s="3" t="s">
        <v>161</v>
      </c>
      <c r="C70" s="20" t="s">
        <v>188</v>
      </c>
    </row>
    <row r="71" spans="1:3" ht="15.75" x14ac:dyDescent="0.25">
      <c r="A71" s="17"/>
      <c r="B71" s="17"/>
      <c r="C71" s="114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</vt:lpstr>
      <vt:lpstr>TGHDL</vt:lpstr>
      <vt:lpstr>BMI</vt:lpstr>
      <vt:lpstr>HbA1C</vt:lpstr>
      <vt:lpstr>BP</vt:lpstr>
      <vt:lpstr>BP&amp;Age</vt:lpstr>
      <vt:lpstr>SmokingBetelnuts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Li-Fang</dc:creator>
  <cp:lastModifiedBy>Li-Fang</cp:lastModifiedBy>
  <dcterms:created xsi:type="dcterms:W3CDTF">2019-01-03T07:23:33Z</dcterms:created>
  <dcterms:modified xsi:type="dcterms:W3CDTF">2019-01-21T05:03:40Z</dcterms:modified>
</cp:coreProperties>
</file>