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4" yWindow="36" windowWidth="16224" windowHeight="7044"/>
  </bookViews>
  <sheets>
    <sheet name="Metagabbro" sheetId="1" r:id="rId1"/>
    <sheet name="Metabasalt" sheetId="2" r:id="rId2"/>
    <sheet name="Cord Ck Gabbro" sheetId="3" r:id="rId3"/>
    <sheet name="Digger Is Lst" sheetId="4" r:id="rId4"/>
  </sheets>
  <calcPr calcId="125725"/>
</workbook>
</file>

<file path=xl/calcChain.xml><?xml version="1.0" encoding="utf-8"?>
<calcChain xmlns="http://schemas.openxmlformats.org/spreadsheetml/2006/main">
  <c r="N174" i="1"/>
  <c r="F7" i="4"/>
  <c r="F5" i="3"/>
  <c r="U11" i="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0"/>
  <c r="S22"/>
  <c r="S21"/>
  <c r="S20"/>
  <c r="S19"/>
  <c r="S18"/>
  <c r="S16"/>
  <c r="S17"/>
  <c r="S15"/>
  <c r="S14"/>
  <c r="S13"/>
  <c r="S12"/>
  <c r="S11"/>
  <c r="S10"/>
  <c r="G26" i="2"/>
  <c r="G25"/>
  <c r="G24"/>
  <c r="G23"/>
  <c r="G22"/>
  <c r="G21"/>
  <c r="G20"/>
  <c r="G19"/>
  <c r="G18"/>
  <c r="G17"/>
  <c r="G16"/>
  <c r="G15"/>
  <c r="G14"/>
  <c r="G13"/>
  <c r="G12"/>
  <c r="G11"/>
  <c r="G10"/>
  <c r="G22" i="1"/>
  <c r="G21"/>
  <c r="G20"/>
  <c r="G19"/>
  <c r="G18"/>
  <c r="G17"/>
  <c r="G16"/>
  <c r="G15"/>
  <c r="G14"/>
  <c r="G13"/>
  <c r="G12"/>
  <c r="G11"/>
  <c r="G10"/>
  <c r="F22"/>
  <c r="F21"/>
  <c r="C118"/>
  <c r="C117"/>
  <c r="B117"/>
  <c r="B118"/>
  <c r="B115" i="2"/>
  <c r="F20" i="1"/>
  <c r="F19"/>
  <c r="F18"/>
  <c r="F17"/>
  <c r="F16"/>
  <c r="F15"/>
  <c r="F14"/>
  <c r="F13"/>
  <c r="F12"/>
  <c r="F11"/>
  <c r="F10"/>
  <c r="B116" i="2"/>
  <c r="B114"/>
  <c r="B113"/>
  <c r="C116" i="1"/>
  <c r="C115"/>
  <c r="B116"/>
  <c r="B115"/>
</calcChain>
</file>

<file path=xl/sharedStrings.xml><?xml version="1.0" encoding="utf-8"?>
<sst xmlns="http://schemas.openxmlformats.org/spreadsheetml/2006/main" count="114" uniqueCount="68">
  <si>
    <t>All measurements x10-3  SI units</t>
  </si>
  <si>
    <t>Susceptibility masurements, Victoria</t>
  </si>
  <si>
    <t>7 May 10</t>
  </si>
  <si>
    <t>East</t>
  </si>
  <si>
    <t>North</t>
  </si>
  <si>
    <t xml:space="preserve">Locations </t>
  </si>
  <si>
    <t>WGS84</t>
  </si>
  <si>
    <t>UTM</t>
  </si>
  <si>
    <t>Z55</t>
  </si>
  <si>
    <t>Mean</t>
  </si>
  <si>
    <t>Median</t>
  </si>
  <si>
    <t>Upper limit</t>
  </si>
  <si>
    <t>Lower limit</t>
  </si>
  <si>
    <t>Day</t>
  </si>
  <si>
    <t>Stop</t>
  </si>
  <si>
    <t>9 May 10</t>
  </si>
  <si>
    <t>8 May 10</t>
  </si>
  <si>
    <t>NE corner</t>
  </si>
  <si>
    <t>NW corner</t>
  </si>
  <si>
    <t>&lt;0.05</t>
  </si>
  <si>
    <t>0.05-0.10</t>
  </si>
  <si>
    <t>0.10-0.15</t>
  </si>
  <si>
    <t>0.15-0.20</t>
  </si>
  <si>
    <t>0.20-0.25</t>
  </si>
  <si>
    <t>0.25-0.30</t>
  </si>
  <si>
    <t>0.30-0.35</t>
  </si>
  <si>
    <t>0.35-0.40</t>
  </si>
  <si>
    <t>0.40-0.45</t>
  </si>
  <si>
    <t>0.45-0.50</t>
  </si>
  <si>
    <t>0.50-0.55</t>
  </si>
  <si>
    <t>0.55-0.60</t>
  </si>
  <si>
    <t>&gt;0.60</t>
  </si>
  <si>
    <t>&lt;5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</si>
  <si>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</si>
  <si>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</si>
  <si>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</si>
  <si>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</si>
  <si>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</si>
  <si>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</si>
  <si>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</si>
  <si>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</si>
  <si>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</si>
  <si>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</si>
  <si>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</si>
  <si>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</si>
  <si>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</si>
  <si>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</si>
  <si>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</si>
  <si>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&gt;80</t>
  </si>
  <si>
    <t>Phillip Is</t>
  </si>
  <si>
    <t>Total</t>
  </si>
  <si>
    <t>Log Susceptibility + 2</t>
  </si>
  <si>
    <t>Melange</t>
  </si>
  <si>
    <t>413215 E</t>
  </si>
  <si>
    <t>5695840 N</t>
  </si>
  <si>
    <t>Location</t>
  </si>
  <si>
    <t>Corduroy Ck Gabbro</t>
  </si>
  <si>
    <t>Cape Liptrap</t>
  </si>
  <si>
    <t>Average</t>
  </si>
  <si>
    <t>Digger Is Limestone</t>
  </si>
  <si>
    <t>413135 E</t>
  </si>
  <si>
    <t>5698221 N</t>
  </si>
  <si>
    <t>Walkerville, Waratah Bay</t>
  </si>
  <si>
    <r>
      <t>All measurements x 10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SI units</t>
    </r>
  </si>
  <si>
    <r>
      <t>All measurements x10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SI</t>
    </r>
  </si>
  <si>
    <t>Zone 55 UTM</t>
  </si>
  <si>
    <t>GDA 94</t>
  </si>
  <si>
    <t xml:space="preserve">Median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</si>
</sst>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 applyAlignment="1">
      <alignment horizontal="center"/>
    </xf>
    <xf numFmtId="2" fontId="0" fillId="0" borderId="0" xfId="0" applyNumberFormat="1"/>
    <xf numFmtId="16" fontId="0" fillId="0" borderId="0" xfId="0" applyNumberFormat="1"/>
    <xf numFmtId="1" fontId="1" fillId="2" borderId="0" xfId="0" applyNumberFormat="1" applyFont="1" applyFill="1" applyAlignment="1">
      <alignment horizontal="right" vertical="top" wrapText="1"/>
    </xf>
    <xf numFmtId="49" fontId="0" fillId="0" borderId="0" xfId="0" applyNumberForma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165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Barrabool Hills Metagabbro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Metagabbro!$F$9</c:f>
              <c:strCache>
                <c:ptCount val="1"/>
                <c:pt idx="0">
                  <c:v>7-May</c:v>
                </c:pt>
              </c:strCache>
            </c:strRef>
          </c:tx>
          <c:cat>
            <c:strRef>
              <c:f>Metagabbro!$E$10:$E$22</c:f>
              <c:strCache>
                <c:ptCount val="13"/>
                <c:pt idx="0">
                  <c:v>&lt;0.05</c:v>
                </c:pt>
                <c:pt idx="1">
                  <c:v>0.05-0.10</c:v>
                </c:pt>
                <c:pt idx="2">
                  <c:v>0.10-0.15</c:v>
                </c:pt>
                <c:pt idx="3">
                  <c:v>0.15-0.20</c:v>
                </c:pt>
                <c:pt idx="4">
                  <c:v>0.20-0.25</c:v>
                </c:pt>
                <c:pt idx="5">
                  <c:v>0.25-0.30</c:v>
                </c:pt>
                <c:pt idx="6">
                  <c:v>0.30-0.35</c:v>
                </c:pt>
                <c:pt idx="7">
                  <c:v>0.35-0.40</c:v>
                </c:pt>
                <c:pt idx="8">
                  <c:v>0.40-0.45</c:v>
                </c:pt>
                <c:pt idx="9">
                  <c:v>0.45-0.50</c:v>
                </c:pt>
                <c:pt idx="10">
                  <c:v>0.50-0.55</c:v>
                </c:pt>
                <c:pt idx="11">
                  <c:v>0.55-0.60</c:v>
                </c:pt>
                <c:pt idx="12">
                  <c:v>&gt;0.60</c:v>
                </c:pt>
              </c:strCache>
            </c:strRef>
          </c:cat>
          <c:val>
            <c:numRef>
              <c:f>Metagabbro!$F$10:$F$22</c:f>
              <c:numCache>
                <c:formatCode>0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  <c:pt idx="5">
                  <c:v>20</c:v>
                </c:pt>
                <c:pt idx="6">
                  <c:v>18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</c:numCache>
            </c:numRef>
          </c:val>
        </c:ser>
        <c:ser>
          <c:idx val="1"/>
          <c:order val="1"/>
          <c:tx>
            <c:strRef>
              <c:f>Metagabbro!$G$9</c:f>
              <c:strCache>
                <c:ptCount val="1"/>
                <c:pt idx="0">
                  <c:v>9-May</c:v>
                </c:pt>
              </c:strCache>
            </c:strRef>
          </c:tx>
          <c:cat>
            <c:strRef>
              <c:f>Metagabbro!$E$10:$E$22</c:f>
              <c:strCache>
                <c:ptCount val="13"/>
                <c:pt idx="0">
                  <c:v>&lt;0.05</c:v>
                </c:pt>
                <c:pt idx="1">
                  <c:v>0.05-0.10</c:v>
                </c:pt>
                <c:pt idx="2">
                  <c:v>0.10-0.15</c:v>
                </c:pt>
                <c:pt idx="3">
                  <c:v>0.15-0.20</c:v>
                </c:pt>
                <c:pt idx="4">
                  <c:v>0.20-0.25</c:v>
                </c:pt>
                <c:pt idx="5">
                  <c:v>0.25-0.30</c:v>
                </c:pt>
                <c:pt idx="6">
                  <c:v>0.30-0.35</c:v>
                </c:pt>
                <c:pt idx="7">
                  <c:v>0.35-0.40</c:v>
                </c:pt>
                <c:pt idx="8">
                  <c:v>0.40-0.45</c:v>
                </c:pt>
                <c:pt idx="9">
                  <c:v>0.45-0.50</c:v>
                </c:pt>
                <c:pt idx="10">
                  <c:v>0.50-0.55</c:v>
                </c:pt>
                <c:pt idx="11">
                  <c:v>0.55-0.60</c:v>
                </c:pt>
                <c:pt idx="12">
                  <c:v>&gt;0.60</c:v>
                </c:pt>
              </c:strCache>
            </c:strRef>
          </c:cat>
          <c:val>
            <c:numRef>
              <c:f>Metagabbro!$G$10:$G$22</c:f>
              <c:numCache>
                <c:formatCode>0</c:formatCode>
                <c:ptCount val="13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5</c:v>
                </c:pt>
                <c:pt idx="4">
                  <c:v>25</c:v>
                </c:pt>
                <c:pt idx="5">
                  <c:v>42</c:v>
                </c:pt>
                <c:pt idx="6">
                  <c:v>17</c:v>
                </c:pt>
                <c:pt idx="7">
                  <c:v>9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</c:numCache>
            </c:numRef>
          </c:val>
        </c:ser>
        <c:ser>
          <c:idx val="2"/>
          <c:order val="2"/>
          <c:tx>
            <c:strRef>
              <c:f>Metagabbro!$S$9</c:f>
              <c:strCache>
                <c:ptCount val="1"/>
                <c:pt idx="0">
                  <c:v>Total</c:v>
                </c:pt>
              </c:strCache>
            </c:strRef>
          </c:tx>
          <c:val>
            <c:numRef>
              <c:f>Metagabbro!$S$10:$S$22</c:f>
              <c:numCache>
                <c:formatCode>0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6</c:v>
                </c:pt>
                <c:pt idx="4">
                  <c:v>31</c:v>
                </c:pt>
                <c:pt idx="5">
                  <c:v>62</c:v>
                </c:pt>
                <c:pt idx="6">
                  <c:v>35</c:v>
                </c:pt>
                <c:pt idx="7">
                  <c:v>15</c:v>
                </c:pt>
                <c:pt idx="8">
                  <c:v>5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</c:numCache>
            </c:numRef>
          </c:val>
        </c:ser>
        <c:axId val="73232768"/>
        <c:axId val="73235072"/>
      </c:barChart>
      <c:catAx>
        <c:axId val="73232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Susceptibility, SI units x 10</a:t>
                </a:r>
                <a:r>
                  <a:rPr lang="en-US" baseline="30000"/>
                  <a:t>-3</a:t>
                </a:r>
              </a:p>
            </c:rich>
          </c:tx>
          <c:layout/>
        </c:title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73235072"/>
        <c:crosses val="autoZero"/>
        <c:auto val="1"/>
        <c:lblAlgn val="ctr"/>
        <c:lblOffset val="100"/>
      </c:catAx>
      <c:valAx>
        <c:axId val="732350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</c:title>
        <c:numFmt formatCode="0" sourceLinked="1"/>
        <c:tickLblPos val="nextTo"/>
        <c:crossAx val="73232768"/>
        <c:crosses val="autoZero"/>
        <c:crossBetween val="between"/>
        <c:majorUnit val="10"/>
      </c:valAx>
      <c:spPr>
        <a:solidFill>
          <a:schemeClr val="bg2"/>
        </a:solidFill>
      </c:spPr>
    </c:plotArea>
    <c:legend>
      <c:legendPos val="r"/>
      <c:layout/>
    </c:legend>
    <c:plotVisOnly val="1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Metagabbro!$U$10:$U$174</c:f>
              <c:numCache>
                <c:formatCode>0.00000</c:formatCode>
                <c:ptCount val="165"/>
                <c:pt idx="0">
                  <c:v>0.60205999132796251</c:v>
                </c:pt>
                <c:pt idx="1">
                  <c:v>0.95424250943932476</c:v>
                </c:pt>
                <c:pt idx="2">
                  <c:v>1</c:v>
                </c:pt>
                <c:pt idx="3">
                  <c:v>1.1139433523068369</c:v>
                </c:pt>
                <c:pt idx="4">
                  <c:v>1.2041199826559248</c:v>
                </c:pt>
                <c:pt idx="5">
                  <c:v>1.2041199826559248</c:v>
                </c:pt>
                <c:pt idx="6">
                  <c:v>1.255272505103306</c:v>
                </c:pt>
                <c:pt idx="7">
                  <c:v>1.255272505103306</c:v>
                </c:pt>
                <c:pt idx="8">
                  <c:v>1.255272505103306</c:v>
                </c:pt>
                <c:pt idx="9">
                  <c:v>1.2787536009528289</c:v>
                </c:pt>
                <c:pt idx="10">
                  <c:v>1.3010299956639813</c:v>
                </c:pt>
                <c:pt idx="11">
                  <c:v>1.3222192947339193</c:v>
                </c:pt>
                <c:pt idx="12">
                  <c:v>1.3222192947339193</c:v>
                </c:pt>
                <c:pt idx="13">
                  <c:v>1.3222192947339193</c:v>
                </c:pt>
                <c:pt idx="14">
                  <c:v>1.3222192947339193</c:v>
                </c:pt>
                <c:pt idx="15">
                  <c:v>1.3424226808222062</c:v>
                </c:pt>
                <c:pt idx="16">
                  <c:v>1.3424226808222062</c:v>
                </c:pt>
                <c:pt idx="17">
                  <c:v>1.3424226808222062</c:v>
                </c:pt>
                <c:pt idx="18">
                  <c:v>1.3424226808222062</c:v>
                </c:pt>
                <c:pt idx="19">
                  <c:v>1.3424226808222062</c:v>
                </c:pt>
                <c:pt idx="20">
                  <c:v>1.3424226808222062</c:v>
                </c:pt>
                <c:pt idx="21">
                  <c:v>1.3424226808222062</c:v>
                </c:pt>
                <c:pt idx="22">
                  <c:v>1.3617278360175931</c:v>
                </c:pt>
                <c:pt idx="23">
                  <c:v>1.3617278360175931</c:v>
                </c:pt>
                <c:pt idx="24">
                  <c:v>1.3617278360175931</c:v>
                </c:pt>
                <c:pt idx="25">
                  <c:v>1.3617278360175931</c:v>
                </c:pt>
                <c:pt idx="26">
                  <c:v>1.3617278360175931</c:v>
                </c:pt>
                <c:pt idx="27">
                  <c:v>1.3617278360175931</c:v>
                </c:pt>
                <c:pt idx="28">
                  <c:v>1.3617278360175931</c:v>
                </c:pt>
                <c:pt idx="29">
                  <c:v>1.3802112417116059</c:v>
                </c:pt>
                <c:pt idx="30">
                  <c:v>1.3802112417116059</c:v>
                </c:pt>
                <c:pt idx="31">
                  <c:v>1.3802112417116059</c:v>
                </c:pt>
                <c:pt idx="32">
                  <c:v>1.3802112417116059</c:v>
                </c:pt>
                <c:pt idx="33">
                  <c:v>1.3802112417116059</c:v>
                </c:pt>
                <c:pt idx="34">
                  <c:v>1.3802112417116059</c:v>
                </c:pt>
                <c:pt idx="35">
                  <c:v>1.3802112417116059</c:v>
                </c:pt>
                <c:pt idx="36">
                  <c:v>1.3802112417116059</c:v>
                </c:pt>
                <c:pt idx="37">
                  <c:v>1.3802112417116059</c:v>
                </c:pt>
                <c:pt idx="38">
                  <c:v>1.3802112417116059</c:v>
                </c:pt>
                <c:pt idx="39">
                  <c:v>1.3802112417116059</c:v>
                </c:pt>
                <c:pt idx="40">
                  <c:v>1.3802112417116059</c:v>
                </c:pt>
                <c:pt idx="41">
                  <c:v>1.3979400086720375</c:v>
                </c:pt>
                <c:pt idx="42">
                  <c:v>1.3979400086720375</c:v>
                </c:pt>
                <c:pt idx="43">
                  <c:v>1.3979400086720375</c:v>
                </c:pt>
                <c:pt idx="44">
                  <c:v>1.3979400086720375</c:v>
                </c:pt>
                <c:pt idx="45">
                  <c:v>1.3979400086720375</c:v>
                </c:pt>
                <c:pt idx="46">
                  <c:v>1.3979400086720375</c:v>
                </c:pt>
                <c:pt idx="47">
                  <c:v>1.3979400086720375</c:v>
                </c:pt>
                <c:pt idx="48">
                  <c:v>1.3979400086720375</c:v>
                </c:pt>
                <c:pt idx="49">
                  <c:v>1.3979400086720375</c:v>
                </c:pt>
                <c:pt idx="50">
                  <c:v>1.3979400086720375</c:v>
                </c:pt>
                <c:pt idx="51">
                  <c:v>1.3979400086720375</c:v>
                </c:pt>
                <c:pt idx="52">
                  <c:v>1.3979400086720375</c:v>
                </c:pt>
                <c:pt idx="53">
                  <c:v>1.414973347970818</c:v>
                </c:pt>
                <c:pt idx="54">
                  <c:v>1.414973347970818</c:v>
                </c:pt>
                <c:pt idx="55">
                  <c:v>1.414973347970818</c:v>
                </c:pt>
                <c:pt idx="56">
                  <c:v>1.414973347970818</c:v>
                </c:pt>
                <c:pt idx="57">
                  <c:v>1.414973347970818</c:v>
                </c:pt>
                <c:pt idx="58">
                  <c:v>1.414973347970818</c:v>
                </c:pt>
                <c:pt idx="59">
                  <c:v>1.414973347970818</c:v>
                </c:pt>
                <c:pt idx="60">
                  <c:v>1.414973347970818</c:v>
                </c:pt>
                <c:pt idx="61">
                  <c:v>1.414973347970818</c:v>
                </c:pt>
                <c:pt idx="62">
                  <c:v>1.414973347970818</c:v>
                </c:pt>
                <c:pt idx="63">
                  <c:v>1.414973347970818</c:v>
                </c:pt>
                <c:pt idx="64">
                  <c:v>1.4313637641589874</c:v>
                </c:pt>
                <c:pt idx="65">
                  <c:v>1.4313637641589874</c:v>
                </c:pt>
                <c:pt idx="66">
                  <c:v>1.4313637641589874</c:v>
                </c:pt>
                <c:pt idx="67">
                  <c:v>1.4313637641589874</c:v>
                </c:pt>
                <c:pt idx="68">
                  <c:v>1.4313637641589874</c:v>
                </c:pt>
                <c:pt idx="69">
                  <c:v>1.4313637641589874</c:v>
                </c:pt>
                <c:pt idx="70">
                  <c:v>1.4313637641589874</c:v>
                </c:pt>
                <c:pt idx="71">
                  <c:v>1.4313637641589874</c:v>
                </c:pt>
                <c:pt idx="72">
                  <c:v>1.4313637641589874</c:v>
                </c:pt>
                <c:pt idx="73">
                  <c:v>1.4313637641589874</c:v>
                </c:pt>
                <c:pt idx="74">
                  <c:v>1.4313637641589874</c:v>
                </c:pt>
                <c:pt idx="75">
                  <c:v>1.4313637641589874</c:v>
                </c:pt>
                <c:pt idx="76">
                  <c:v>1.4313637641589874</c:v>
                </c:pt>
                <c:pt idx="77">
                  <c:v>1.4313637641589874</c:v>
                </c:pt>
                <c:pt idx="78">
                  <c:v>1.4471580313422192</c:v>
                </c:pt>
                <c:pt idx="79">
                  <c:v>1.4471580313422192</c:v>
                </c:pt>
                <c:pt idx="80">
                  <c:v>1.4471580313422192</c:v>
                </c:pt>
                <c:pt idx="81">
                  <c:v>1.4471580313422192</c:v>
                </c:pt>
                <c:pt idx="82">
                  <c:v>1.4471580313422192</c:v>
                </c:pt>
                <c:pt idx="83">
                  <c:v>1.4471580313422192</c:v>
                </c:pt>
                <c:pt idx="84">
                  <c:v>1.4471580313422192</c:v>
                </c:pt>
                <c:pt idx="85">
                  <c:v>1.4471580313422192</c:v>
                </c:pt>
                <c:pt idx="86">
                  <c:v>1.4471580313422192</c:v>
                </c:pt>
                <c:pt idx="87">
                  <c:v>1.4471580313422192</c:v>
                </c:pt>
                <c:pt idx="88">
                  <c:v>1.4471580313422192</c:v>
                </c:pt>
                <c:pt idx="89">
                  <c:v>1.4623979978989561</c:v>
                </c:pt>
                <c:pt idx="90">
                  <c:v>1.4623979978989561</c:v>
                </c:pt>
                <c:pt idx="91">
                  <c:v>1.4623979978989561</c:v>
                </c:pt>
                <c:pt idx="92">
                  <c:v>1.4623979978989561</c:v>
                </c:pt>
                <c:pt idx="93">
                  <c:v>1.4623979978989561</c:v>
                </c:pt>
                <c:pt idx="94">
                  <c:v>1.4623979978989561</c:v>
                </c:pt>
                <c:pt idx="95">
                  <c:v>1.4623979978989561</c:v>
                </c:pt>
                <c:pt idx="96">
                  <c:v>1.4623979978989561</c:v>
                </c:pt>
                <c:pt idx="97">
                  <c:v>1.4623979978989561</c:v>
                </c:pt>
                <c:pt idx="98">
                  <c:v>1.4623979978989561</c:v>
                </c:pt>
                <c:pt idx="99">
                  <c:v>1.4623979978989561</c:v>
                </c:pt>
                <c:pt idx="100">
                  <c:v>1.4623979978989561</c:v>
                </c:pt>
                <c:pt idx="101">
                  <c:v>1.4623979978989561</c:v>
                </c:pt>
                <c:pt idx="102">
                  <c:v>1.4623979978989561</c:v>
                </c:pt>
                <c:pt idx="103">
                  <c:v>1.4771212547196624</c:v>
                </c:pt>
                <c:pt idx="104">
                  <c:v>1.4771212547196624</c:v>
                </c:pt>
                <c:pt idx="105">
                  <c:v>1.4771212547196624</c:v>
                </c:pt>
                <c:pt idx="106">
                  <c:v>1.4771212547196624</c:v>
                </c:pt>
                <c:pt idx="107">
                  <c:v>1.4771212547196624</c:v>
                </c:pt>
                <c:pt idx="108">
                  <c:v>1.4913616938342726</c:v>
                </c:pt>
                <c:pt idx="109">
                  <c:v>1.4913616938342726</c:v>
                </c:pt>
                <c:pt idx="110">
                  <c:v>1.4913616938342726</c:v>
                </c:pt>
                <c:pt idx="111">
                  <c:v>1.4913616938342726</c:v>
                </c:pt>
                <c:pt idx="112">
                  <c:v>1.4913616938342726</c:v>
                </c:pt>
                <c:pt idx="113">
                  <c:v>1.4913616938342726</c:v>
                </c:pt>
                <c:pt idx="114">
                  <c:v>1.4913616938342726</c:v>
                </c:pt>
                <c:pt idx="115">
                  <c:v>1.4913616938342726</c:v>
                </c:pt>
                <c:pt idx="116">
                  <c:v>1.4913616938342726</c:v>
                </c:pt>
                <c:pt idx="117">
                  <c:v>1.4913616938342726</c:v>
                </c:pt>
                <c:pt idx="118">
                  <c:v>1.4913616938342726</c:v>
                </c:pt>
                <c:pt idx="119">
                  <c:v>1.4913616938342726</c:v>
                </c:pt>
                <c:pt idx="120">
                  <c:v>1.505149978319906</c:v>
                </c:pt>
                <c:pt idx="121">
                  <c:v>1.505149978319906</c:v>
                </c:pt>
                <c:pt idx="122">
                  <c:v>1.505149978319906</c:v>
                </c:pt>
                <c:pt idx="123">
                  <c:v>1.505149978319906</c:v>
                </c:pt>
                <c:pt idx="124">
                  <c:v>1.505149978319906</c:v>
                </c:pt>
                <c:pt idx="125">
                  <c:v>1.505149978319906</c:v>
                </c:pt>
                <c:pt idx="126">
                  <c:v>1.505149978319906</c:v>
                </c:pt>
                <c:pt idx="127">
                  <c:v>1.505149978319906</c:v>
                </c:pt>
                <c:pt idx="128">
                  <c:v>1.5185139398778875</c:v>
                </c:pt>
                <c:pt idx="129">
                  <c:v>1.5185139398778875</c:v>
                </c:pt>
                <c:pt idx="130">
                  <c:v>1.5185139398778875</c:v>
                </c:pt>
                <c:pt idx="131">
                  <c:v>1.5185139398778875</c:v>
                </c:pt>
                <c:pt idx="132">
                  <c:v>1.5185139398778875</c:v>
                </c:pt>
                <c:pt idx="133">
                  <c:v>1.5185139398778875</c:v>
                </c:pt>
                <c:pt idx="134">
                  <c:v>1.5314789170422551</c:v>
                </c:pt>
                <c:pt idx="135">
                  <c:v>1.5314789170422551</c:v>
                </c:pt>
                <c:pt idx="136">
                  <c:v>1.5314789170422551</c:v>
                </c:pt>
                <c:pt idx="137">
                  <c:v>1.5314789170422551</c:v>
                </c:pt>
                <c:pt idx="138">
                  <c:v>1.5440680443502757</c:v>
                </c:pt>
                <c:pt idx="139">
                  <c:v>1.5440680443502757</c:v>
                </c:pt>
                <c:pt idx="140">
                  <c:v>1.5440680443502757</c:v>
                </c:pt>
                <c:pt idx="141">
                  <c:v>1.5563025007672873</c:v>
                </c:pt>
                <c:pt idx="142">
                  <c:v>1.5563025007672873</c:v>
                </c:pt>
                <c:pt idx="143">
                  <c:v>1.5563025007672873</c:v>
                </c:pt>
                <c:pt idx="144">
                  <c:v>1.5563025007672873</c:v>
                </c:pt>
                <c:pt idx="145">
                  <c:v>1.5563025007672873</c:v>
                </c:pt>
                <c:pt idx="146">
                  <c:v>1.5563025007672873</c:v>
                </c:pt>
                <c:pt idx="147">
                  <c:v>1.568201724066995</c:v>
                </c:pt>
                <c:pt idx="148">
                  <c:v>1.568201724066995</c:v>
                </c:pt>
                <c:pt idx="149">
                  <c:v>1.5797835966168101</c:v>
                </c:pt>
                <c:pt idx="150">
                  <c:v>1.5797835966168101</c:v>
                </c:pt>
                <c:pt idx="151">
                  <c:v>1.5797835966168101</c:v>
                </c:pt>
                <c:pt idx="152">
                  <c:v>1.5797835966168101</c:v>
                </c:pt>
                <c:pt idx="153">
                  <c:v>1.6127838567197355</c:v>
                </c:pt>
                <c:pt idx="154">
                  <c:v>1.6232492903979003</c:v>
                </c:pt>
                <c:pt idx="155">
                  <c:v>1.6232492903979003</c:v>
                </c:pt>
                <c:pt idx="156">
                  <c:v>1.6232492903979003</c:v>
                </c:pt>
                <c:pt idx="157">
                  <c:v>1.6434526764861874</c:v>
                </c:pt>
                <c:pt idx="158">
                  <c:v>1.6720978579357175</c:v>
                </c:pt>
                <c:pt idx="159">
                  <c:v>1.7075701760979363</c:v>
                </c:pt>
                <c:pt idx="160">
                  <c:v>1.7242758696007892</c:v>
                </c:pt>
                <c:pt idx="161">
                  <c:v>1.7403626894942439</c:v>
                </c:pt>
                <c:pt idx="162">
                  <c:v>1.7403626894942439</c:v>
                </c:pt>
                <c:pt idx="163">
                  <c:v>2.5888317255942073</c:v>
                </c:pt>
                <c:pt idx="164">
                  <c:v>2.79309160017658</c:v>
                </c:pt>
              </c:numCache>
            </c:numRef>
          </c:val>
        </c:ser>
        <c:marker val="1"/>
        <c:axId val="73242112"/>
        <c:axId val="73243648"/>
      </c:lineChart>
      <c:catAx>
        <c:axId val="73242112"/>
        <c:scaling>
          <c:orientation val="minMax"/>
        </c:scaling>
        <c:axPos val="b"/>
        <c:tickLblPos val="nextTo"/>
        <c:crossAx val="73243648"/>
        <c:crosses val="autoZero"/>
        <c:auto val="1"/>
        <c:lblAlgn val="ctr"/>
        <c:lblOffset val="100"/>
        <c:tickMarkSkip val="10"/>
      </c:catAx>
      <c:valAx>
        <c:axId val="73243648"/>
        <c:scaling>
          <c:logBase val="10"/>
          <c:orientation val="minMax"/>
          <c:max val="5"/>
          <c:min val="0.5"/>
        </c:scaling>
        <c:axPos val="l"/>
        <c:majorGridlines/>
        <c:numFmt formatCode="0.0" sourceLinked="0"/>
        <c:tickLblPos val="nextTo"/>
        <c:crossAx val="73242112"/>
        <c:crosses val="autoZero"/>
        <c:crossBetween val="between"/>
        <c:majorUnit val="10"/>
        <c:minorUnit val="10"/>
      </c:valAx>
    </c:plotArea>
    <c:legend>
      <c:legendPos val="r"/>
      <c:layout/>
    </c:legend>
    <c:plotVisOnly val="1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Phillip Island Metabasalt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Metabasalt</c:v>
          </c:tx>
          <c:spPr>
            <a:solidFill>
              <a:schemeClr val="accent2"/>
            </a:solidFill>
          </c:spPr>
          <c:cat>
            <c:strRef>
              <c:f>Metabasalt!$F$10:$F$26</c:f>
              <c:strCache>
                <c:ptCount val="17"/>
                <c:pt idx="0">
                  <c:v>&lt;5</c:v>
                </c:pt>
                <c:pt idx="1">
                  <c:v>5-10</c:v>
                </c:pt>
                <c:pt idx="2">
                  <c:v>10-15</c:v>
                </c:pt>
                <c:pt idx="3">
                  <c:v>15-20</c:v>
                </c:pt>
                <c:pt idx="4">
                  <c:v>20-25</c:v>
                </c:pt>
                <c:pt idx="5">
                  <c:v>25-30</c:v>
                </c:pt>
                <c:pt idx="6">
                  <c:v>30-35</c:v>
                </c:pt>
                <c:pt idx="7">
                  <c:v>35-40</c:v>
                </c:pt>
                <c:pt idx="8">
                  <c:v>40-45</c:v>
                </c:pt>
                <c:pt idx="9">
                  <c:v>45-50</c:v>
                </c:pt>
                <c:pt idx="10">
                  <c:v>50-55</c:v>
                </c:pt>
                <c:pt idx="11">
                  <c:v>55-60</c:v>
                </c:pt>
                <c:pt idx="12">
                  <c:v>60-65</c:v>
                </c:pt>
                <c:pt idx="13">
                  <c:v>65-70</c:v>
                </c:pt>
                <c:pt idx="14">
                  <c:v>70-75</c:v>
                </c:pt>
                <c:pt idx="15">
                  <c:v>75-80</c:v>
                </c:pt>
                <c:pt idx="16">
                  <c:v>&gt;80</c:v>
                </c:pt>
              </c:strCache>
            </c:strRef>
          </c:cat>
          <c:val>
            <c:numRef>
              <c:f>Metabasalt!$G$10:$G$26</c:f>
              <c:numCache>
                <c:formatCode>0</c:formatCode>
                <c:ptCount val="17"/>
                <c:pt idx="0">
                  <c:v>9</c:v>
                </c:pt>
                <c:pt idx="1">
                  <c:v>29</c:v>
                </c:pt>
                <c:pt idx="2">
                  <c:v>27</c:v>
                </c:pt>
                <c:pt idx="3">
                  <c:v>13</c:v>
                </c:pt>
                <c:pt idx="4">
                  <c:v>7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</c:ser>
        <c:axId val="76493184"/>
        <c:axId val="76495104"/>
      </c:barChart>
      <c:catAx>
        <c:axId val="76493184"/>
        <c:scaling>
          <c:orientation val="minMax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/>
                  <a:t>Susceptibility, SI units x 10</a:t>
                </a:r>
                <a:r>
                  <a:rPr lang="en-US" sz="1100" b="1" i="0" baseline="30000"/>
                  <a:t>-3</a:t>
                </a:r>
                <a:endParaRPr lang="en-AU" sz="1100"/>
              </a:p>
            </c:rich>
          </c:tx>
          <c:layout/>
        </c:title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76495104"/>
        <c:crosses val="autoZero"/>
        <c:lblAlgn val="ctr"/>
        <c:lblOffset val="100"/>
        <c:tickLblSkip val="2"/>
        <c:tickMarkSkip val="2"/>
      </c:catAx>
      <c:valAx>
        <c:axId val="76495104"/>
        <c:scaling>
          <c:orientation val="minMax"/>
          <c:max val="35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</c:title>
        <c:numFmt formatCode="0" sourceLinked="1"/>
        <c:tickLblPos val="nextTo"/>
        <c:crossAx val="76493184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</c:legend>
    <c:plotVisOnly val="1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3</xdr:row>
      <xdr:rowOff>177800</xdr:rowOff>
    </xdr:from>
    <xdr:to>
      <xdr:col>15</xdr:col>
      <xdr:colOff>373380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441960</xdr:colOff>
      <xdr:row>24</xdr:row>
      <xdr:rowOff>167640</xdr:rowOff>
    </xdr:from>
    <xdr:to>
      <xdr:col>15</xdr:col>
      <xdr:colOff>388620</xdr:colOff>
      <xdr:row>47</xdr:row>
      <xdr:rowOff>0</xdr:rowOff>
    </xdr:to>
    <xdr:graphicFrame macro="">
      <xdr:nvGraphicFramePr>
        <xdr:cNvPr id="3" name="Log Susceptibility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0.2244</cdr:x>
      <cdr:y>0.09434</cdr:y>
    </cdr:from>
    <cdr:to>
      <cdr:x>0.70407</cdr:x>
      <cdr:y>0.20755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19200" y="381000"/>
          <a:ext cx="260604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AU" sz="1400" b="1">
              <a:latin typeface="Arial" pitchFamily="34" charset="0"/>
              <a:cs typeface="Arial" pitchFamily="34" charset="0"/>
            </a:rPr>
            <a:t>Log Susceptibility + 2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336550</xdr:colOff>
      <xdr:row>5</xdr:row>
      <xdr:rowOff>63500</xdr:rowOff>
    </xdr:from>
    <xdr:to>
      <xdr:col>16</xdr:col>
      <xdr:colOff>31750</xdr:colOff>
      <xdr:row>20</xdr:row>
      <xdr:rowOff>44450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74"/>
  <sheetViews>
    <sheetView tabSelected="1" workbookViewId="0">
      <selection activeCell="M173" sqref="M173"/>
    </sheetView>
  </sheetViews>
  <sheetFormatPr defaultRowHeight="14.4"/>
  <cols>
    <col min="20" max="20" width="11.6640625" customWidth="1"/>
  </cols>
  <sheetData>
    <row r="1" spans="1:21">
      <c r="A1" t="s">
        <v>1</v>
      </c>
    </row>
    <row r="2" spans="1:21">
      <c r="A2" t="s">
        <v>0</v>
      </c>
    </row>
    <row r="3" spans="1:21">
      <c r="A3" t="s">
        <v>13</v>
      </c>
      <c r="B3" s="1" t="s">
        <v>2</v>
      </c>
      <c r="C3" s="1" t="s">
        <v>15</v>
      </c>
    </row>
    <row r="4" spans="1:21">
      <c r="A4" t="s">
        <v>14</v>
      </c>
      <c r="B4">
        <v>1</v>
      </c>
      <c r="C4">
        <v>1</v>
      </c>
    </row>
    <row r="5" spans="1:21">
      <c r="A5" t="s">
        <v>5</v>
      </c>
      <c r="B5" t="s">
        <v>6</v>
      </c>
      <c r="C5" t="s">
        <v>7</v>
      </c>
      <c r="D5" t="s">
        <v>8</v>
      </c>
    </row>
    <row r="7" spans="1:21">
      <c r="A7" t="s">
        <v>3</v>
      </c>
      <c r="B7">
        <v>258689</v>
      </c>
      <c r="C7">
        <v>258352</v>
      </c>
    </row>
    <row r="8" spans="1:21">
      <c r="A8" t="s">
        <v>4</v>
      </c>
      <c r="B8">
        <v>5774410</v>
      </c>
      <c r="C8">
        <v>5774179</v>
      </c>
    </row>
    <row r="9" spans="1:21">
      <c r="F9" s="3">
        <v>40305</v>
      </c>
      <c r="G9" s="3">
        <v>40307</v>
      </c>
      <c r="S9" s="6" t="s">
        <v>50</v>
      </c>
      <c r="U9" t="s">
        <v>51</v>
      </c>
    </row>
    <row r="10" spans="1:21">
      <c r="B10" s="2">
        <v>0.42</v>
      </c>
      <c r="C10" s="2">
        <v>0.31</v>
      </c>
      <c r="E10" t="s">
        <v>19</v>
      </c>
      <c r="F10" s="4">
        <f>COUNTIF(B$10:B$70,"&gt;=0")-COUNTIF(B$10:B$70,"&gt;0.049")</f>
        <v>0</v>
      </c>
      <c r="G10" s="4">
        <f>COUNTIF(C$10:C$113,"&gt;=0")-COUNTIF(C$10:C$113,"&gt;0.049")</f>
        <v>1</v>
      </c>
      <c r="Q10" s="2">
        <v>0.04</v>
      </c>
      <c r="R10" t="s">
        <v>19</v>
      </c>
      <c r="S10" s="6">
        <f>COUNTIF(Q$10:Q$174,"&gt;=0")-COUNTIF(Q$10:Q$174,"&gt;0.049")</f>
        <v>1</v>
      </c>
      <c r="T10" s="2"/>
      <c r="U10" s="7">
        <f>2+LOG($Q10)</f>
        <v>0.60205999132796251</v>
      </c>
    </row>
    <row r="11" spans="1:21">
      <c r="B11" s="2">
        <v>0.34</v>
      </c>
      <c r="C11" s="2">
        <v>0.25</v>
      </c>
      <c r="E11" t="s">
        <v>20</v>
      </c>
      <c r="F11" s="4">
        <f>COUNTIF(B$10:B$70,"&gt;=0.050")-COUNTIF(B$10:B$70,"&gt;0.099")</f>
        <v>1</v>
      </c>
      <c r="G11" s="4">
        <f>COUNTIF(C$10:C$113,"&gt;=0.050")-COUNTIF(C$10:C$113,"&gt;0.099")</f>
        <v>0</v>
      </c>
      <c r="Q11" s="2">
        <v>0.09</v>
      </c>
      <c r="R11" t="s">
        <v>20</v>
      </c>
      <c r="S11" s="6">
        <f>COUNTIF(Q$10:Q$174,"&gt;=0.050")-COUNTIF(Q$10:Q$174,"&gt;0.0999")</f>
        <v>1</v>
      </c>
      <c r="T11" s="2"/>
      <c r="U11" s="7">
        <f t="shared" ref="U11:U74" si="0">2+LOG($Q11)</f>
        <v>0.95424250943932476</v>
      </c>
    </row>
    <row r="12" spans="1:21">
      <c r="B12" s="2">
        <v>0.25</v>
      </c>
      <c r="C12" s="2">
        <v>0.28999999999999998</v>
      </c>
      <c r="E12" t="s">
        <v>21</v>
      </c>
      <c r="F12" s="4">
        <f>COUNTIF(B$10:B$70,"&gt;=0.10")-COUNTIF(B$10:B$70,"&gt;0.149")</f>
        <v>1</v>
      </c>
      <c r="G12" s="4">
        <f>COUNTIF(C$10:C$113,"&gt;=0.10")-COUNTIF(C$10:C$113,"&gt;0.149")</f>
        <v>1</v>
      </c>
      <c r="Q12" s="2">
        <v>0.1</v>
      </c>
      <c r="R12" t="s">
        <v>21</v>
      </c>
      <c r="S12" s="6">
        <f>COUNTIF(Q$10:Q$174,"&gt;=0.10")-COUNTIF(Q$10:Q$174,"&gt;0.1499")</f>
        <v>2</v>
      </c>
      <c r="T12" s="2"/>
      <c r="U12" s="7">
        <f t="shared" si="0"/>
        <v>1</v>
      </c>
    </row>
    <row r="13" spans="1:21">
      <c r="B13" s="2">
        <v>0.36</v>
      </c>
      <c r="C13" s="2">
        <v>0.37</v>
      </c>
      <c r="E13" t="s">
        <v>22</v>
      </c>
      <c r="F13" s="4">
        <f>COUNTIF(B$10:B$70,"&gt;=0.15")-COUNTIF(B$10:B$70,"&gt;0.199")</f>
        <v>1</v>
      </c>
      <c r="G13" s="4">
        <f>COUNTIF(C$10:C$113,"&gt;=0.15")-COUNTIF(C$10:C$113,"&gt;0.199")</f>
        <v>5</v>
      </c>
      <c r="Q13" s="2">
        <v>0.13</v>
      </c>
      <c r="R13" t="s">
        <v>22</v>
      </c>
      <c r="S13" s="6">
        <f>COUNTIF(Q$10:Q$174,"&gt;=0.15")-COUNTIF(Q$10:Q$174,"&gt;0.199")</f>
        <v>6</v>
      </c>
      <c r="T13" s="2"/>
      <c r="U13" s="7">
        <f t="shared" si="0"/>
        <v>1.1139433523068369</v>
      </c>
    </row>
    <row r="14" spans="1:21">
      <c r="B14" s="2">
        <v>0.35</v>
      </c>
      <c r="C14" s="2">
        <v>0.26</v>
      </c>
      <c r="E14" t="s">
        <v>23</v>
      </c>
      <c r="F14" s="4">
        <f>COUNTIF(B$10:B$70,"&gt;=0.20")-COUNTIF(B$10:B$70,"&gt;0.249")</f>
        <v>6</v>
      </c>
      <c r="G14" s="4">
        <f>COUNTIF(C$10:C$113,"&gt;=0.20")-COUNTIF(C$10:C$113,"&gt;0.249")</f>
        <v>25</v>
      </c>
      <c r="Q14" s="2">
        <v>0.16</v>
      </c>
      <c r="R14" t="s">
        <v>23</v>
      </c>
      <c r="S14" s="6">
        <f>COUNTIF(Q$10:Q$174,"&gt;=0.20")-COUNTIF(Q$10:Q$174,"&gt;0.249")</f>
        <v>31</v>
      </c>
      <c r="T14" s="2"/>
      <c r="U14" s="7">
        <f t="shared" si="0"/>
        <v>1.2041199826559248</v>
      </c>
    </row>
    <row r="15" spans="1:21">
      <c r="B15" s="2">
        <v>0.09</v>
      </c>
      <c r="C15" s="2">
        <v>0.22</v>
      </c>
      <c r="E15" t="s">
        <v>24</v>
      </c>
      <c r="F15" s="4">
        <f>COUNTIF(B$10:B$70,"&gt;=0.25")-COUNTIF(B$10:B$70,"&gt;0.299")</f>
        <v>20</v>
      </c>
      <c r="G15" s="4">
        <f>COUNTIF(C$10:C$113,"&gt;=0.25")-COUNTIF(C$10:C$113,"&gt;0.299")</f>
        <v>42</v>
      </c>
      <c r="Q15" s="2">
        <v>0.16</v>
      </c>
      <c r="R15" t="s">
        <v>24</v>
      </c>
      <c r="S15" s="6">
        <f>COUNTIF(Q$10:Q$174,"&gt;=0.25")-COUNTIF(Q$10:Q$174,"&gt;0.299")</f>
        <v>62</v>
      </c>
      <c r="T15" s="2"/>
      <c r="U15" s="7">
        <f t="shared" si="0"/>
        <v>1.2041199826559248</v>
      </c>
    </row>
    <row r="16" spans="1:21">
      <c r="B16" s="2">
        <v>0.28000000000000003</v>
      </c>
      <c r="C16" s="2">
        <v>0.42</v>
      </c>
      <c r="E16" t="s">
        <v>25</v>
      </c>
      <c r="F16" s="4">
        <f>COUNTIF(B$10:B$70,"&gt;=0.30")-COUNTIF(B$10:B$70,"&gt;0.349")</f>
        <v>18</v>
      </c>
      <c r="G16" s="4">
        <f>COUNTIF(C$10:C$113,"&gt;=0.30")-COUNTIF(C$10:C$113,"&gt;0.349")</f>
        <v>17</v>
      </c>
      <c r="Q16" s="2">
        <v>0.18</v>
      </c>
      <c r="R16" t="s">
        <v>25</v>
      </c>
      <c r="S16" s="6">
        <f>COUNTIF(Q$10:Q$174,"&gt;=0.30")-COUNTIF(Q$10:Q$174,"&gt;0.349")</f>
        <v>35</v>
      </c>
      <c r="T16" s="2"/>
      <c r="U16" s="7">
        <f t="shared" si="0"/>
        <v>1.255272505103306</v>
      </c>
    </row>
    <row r="17" spans="2:21">
      <c r="B17" s="2">
        <v>0.28999999999999998</v>
      </c>
      <c r="C17" s="2">
        <v>0.28999999999999998</v>
      </c>
      <c r="E17" t="s">
        <v>26</v>
      </c>
      <c r="F17" s="4">
        <f>COUNTIF(B$10:B$70,"&gt;=0.35")-COUNTIF(B$10:B$70,"&gt;0.399")</f>
        <v>6</v>
      </c>
      <c r="G17" s="4">
        <f>COUNTIF(C$10:C$113,"&gt;=0.35")-COUNTIF(C$10:C$113,"&gt;0.399")</f>
        <v>9</v>
      </c>
      <c r="Q17" s="2">
        <v>0.18</v>
      </c>
      <c r="R17" t="s">
        <v>26</v>
      </c>
      <c r="S17" s="6">
        <f>COUNTIF(Q$10:Q$174,"&gt;=0.35")-COUNTIF(Q$10:Q$174,"&gt;0.399")</f>
        <v>15</v>
      </c>
      <c r="T17" s="2"/>
      <c r="U17" s="7">
        <f t="shared" si="0"/>
        <v>1.255272505103306</v>
      </c>
    </row>
    <row r="18" spans="2:21">
      <c r="B18" s="2">
        <v>0.27</v>
      </c>
      <c r="C18" s="2">
        <v>0.24</v>
      </c>
      <c r="E18" t="s">
        <v>27</v>
      </c>
      <c r="F18" s="4">
        <f>COUNTIF(B$10:B$70,"&gt;=0.40")-COUNTIF(B$10:B$70,"&gt;0.449")</f>
        <v>4</v>
      </c>
      <c r="G18" s="4">
        <f>COUNTIF(C$10:C$113,"&gt;=0.40")-COUNTIF(C$10:C$113,"&gt;0.449")</f>
        <v>1</v>
      </c>
      <c r="Q18" s="2">
        <v>0.18</v>
      </c>
      <c r="R18" t="s">
        <v>27</v>
      </c>
      <c r="S18" s="6">
        <f>COUNTIF(Q$10:Q$174,"&gt;=0.40")-COUNTIF(Q$10:Q$174,"&gt;0.449")</f>
        <v>5</v>
      </c>
      <c r="T18" s="2"/>
      <c r="U18" s="7">
        <f t="shared" si="0"/>
        <v>1.255272505103306</v>
      </c>
    </row>
    <row r="19" spans="2:21">
      <c r="B19" s="2">
        <v>0.51</v>
      </c>
      <c r="C19" s="2">
        <v>0.32</v>
      </c>
      <c r="E19" t="s">
        <v>28</v>
      </c>
      <c r="F19" s="4">
        <f>COUNTIF(B$10:B$70,"&gt;=0.45")-COUNTIF(B$10:B$70,"&gt;0.499")</f>
        <v>1</v>
      </c>
      <c r="G19" s="4">
        <f>COUNTIF(C$10:C$113,"&gt;=0.45")-COUNTIF(C$10:C$113,"&gt;0.499")</f>
        <v>0</v>
      </c>
      <c r="Q19" s="2">
        <v>0.19</v>
      </c>
      <c r="R19" t="s">
        <v>28</v>
      </c>
      <c r="S19" s="6">
        <f>COUNTIF(Q$10:Q$174,"&gt;=0.45")-COUNTIF(Q$10:Q$174,"&gt;0.499")</f>
        <v>1</v>
      </c>
      <c r="T19" s="2"/>
      <c r="U19" s="7">
        <f t="shared" si="0"/>
        <v>1.2787536009528289</v>
      </c>
    </row>
    <row r="20" spans="2:21">
      <c r="B20" s="2">
        <v>0.27</v>
      </c>
      <c r="C20" s="2">
        <v>0.23</v>
      </c>
      <c r="E20" t="s">
        <v>29</v>
      </c>
      <c r="F20" s="4">
        <f>COUNTIF(B$10:B$70,"&gt;=0.50")-COUNTIF(B$10:B$70,"&gt;0.549")</f>
        <v>2</v>
      </c>
      <c r="G20" s="4">
        <f>COUNTIF(C$10:C$113,"&gt;=0.50")-COUNTIF(C$10:C$113,"&gt;0.549")</f>
        <v>0</v>
      </c>
      <c r="Q20" s="2">
        <v>0.2</v>
      </c>
      <c r="R20" t="s">
        <v>29</v>
      </c>
      <c r="S20" s="6">
        <f>COUNTIF(Q$10:Q$174,"&gt;=0.50")-COUNTIF(Q$10:Q$174,"&gt;0.549")</f>
        <v>2</v>
      </c>
      <c r="T20" s="2"/>
      <c r="U20" s="7">
        <f t="shared" si="0"/>
        <v>1.3010299956639813</v>
      </c>
    </row>
    <row r="21" spans="2:21">
      <c r="B21" s="2">
        <v>0.33</v>
      </c>
      <c r="C21" s="2">
        <v>0.23</v>
      </c>
      <c r="E21" t="s">
        <v>30</v>
      </c>
      <c r="F21" s="4">
        <f>COUNTIF(B$10:B$70,"&gt;=0.55")-COUNTIF(B$10:B$70,"&gt;0.599")</f>
        <v>1</v>
      </c>
      <c r="G21" s="4">
        <f>COUNTIF(C$10:C$113,"&gt;=0.55")-COUNTIF(C$10:C$113,"&gt;0.599")</f>
        <v>1</v>
      </c>
      <c r="Q21" s="2">
        <v>0.21</v>
      </c>
      <c r="R21" t="s">
        <v>30</v>
      </c>
      <c r="S21" s="6">
        <f>COUNTIF(Q$10:Q$174,"&gt;=0.55")-COUNTIF(Q$10:Q$174,"&gt;0.599")</f>
        <v>2</v>
      </c>
      <c r="T21" s="2"/>
      <c r="U21" s="7">
        <f t="shared" si="0"/>
        <v>1.3222192947339193</v>
      </c>
    </row>
    <row r="22" spans="2:21">
      <c r="B22" s="2">
        <v>0.38</v>
      </c>
      <c r="C22" s="2">
        <v>0.25</v>
      </c>
      <c r="E22" t="s">
        <v>31</v>
      </c>
      <c r="F22" s="4">
        <f>COUNTIF(B$10:B$70,"&gt;=0.60")</f>
        <v>0</v>
      </c>
      <c r="G22" s="4">
        <f>COUNTIF(C$10:C$113,"&gt;=0.60")</f>
        <v>2</v>
      </c>
      <c r="Q22" s="2">
        <v>0.21</v>
      </c>
      <c r="R22" t="s">
        <v>31</v>
      </c>
      <c r="S22" s="6">
        <f>COUNTIF(Q$10:Q$174,"&gt;=0.60")</f>
        <v>2</v>
      </c>
      <c r="T22" s="2"/>
      <c r="U22" s="7">
        <f t="shared" si="0"/>
        <v>1.3222192947339193</v>
      </c>
    </row>
    <row r="23" spans="2:21">
      <c r="B23" s="2">
        <v>0.3</v>
      </c>
      <c r="C23" s="2">
        <v>0.28999999999999998</v>
      </c>
      <c r="Q23" s="2">
        <v>0.21</v>
      </c>
      <c r="S23" s="6"/>
      <c r="T23" s="2"/>
      <c r="U23" s="7">
        <f t="shared" si="0"/>
        <v>1.3222192947339193</v>
      </c>
    </row>
    <row r="24" spans="2:21">
      <c r="B24" s="2">
        <v>0.33</v>
      </c>
      <c r="C24" s="2">
        <v>0.27</v>
      </c>
      <c r="Q24" s="2">
        <v>0.21</v>
      </c>
      <c r="T24" s="2"/>
      <c r="U24" s="7">
        <f t="shared" si="0"/>
        <v>1.3222192947339193</v>
      </c>
    </row>
    <row r="25" spans="2:21">
      <c r="B25" s="2">
        <v>0.1</v>
      </c>
      <c r="C25" s="2">
        <v>0.26</v>
      </c>
      <c r="Q25" s="2">
        <v>0.22</v>
      </c>
      <c r="T25" s="2"/>
      <c r="U25" s="7">
        <f t="shared" si="0"/>
        <v>1.3424226808222062</v>
      </c>
    </row>
    <row r="26" spans="2:21">
      <c r="B26" s="2">
        <v>0.33</v>
      </c>
      <c r="C26" s="2">
        <v>0.24</v>
      </c>
      <c r="Q26" s="2">
        <v>0.22</v>
      </c>
      <c r="T26" s="2"/>
      <c r="U26" s="7">
        <f t="shared" si="0"/>
        <v>1.3424226808222062</v>
      </c>
    </row>
    <row r="27" spans="2:21">
      <c r="B27" s="2">
        <v>0.42</v>
      </c>
      <c r="C27" s="2">
        <v>0.27</v>
      </c>
      <c r="Q27" s="2">
        <v>0.22</v>
      </c>
      <c r="T27" s="2"/>
      <c r="U27" s="7">
        <f t="shared" si="0"/>
        <v>1.3424226808222062</v>
      </c>
    </row>
    <row r="28" spans="2:21">
      <c r="B28" s="2">
        <v>0.53</v>
      </c>
      <c r="C28" s="2">
        <v>0.24</v>
      </c>
      <c r="Q28" s="2">
        <v>0.22</v>
      </c>
      <c r="T28" s="2"/>
      <c r="U28" s="7">
        <f t="shared" si="0"/>
        <v>1.3424226808222062</v>
      </c>
    </row>
    <row r="29" spans="2:21">
      <c r="B29" s="2">
        <v>0.2</v>
      </c>
      <c r="C29" s="2">
        <v>0.18</v>
      </c>
      <c r="Q29" s="2">
        <v>0.22</v>
      </c>
      <c r="T29" s="2"/>
      <c r="U29" s="7">
        <f t="shared" si="0"/>
        <v>1.3424226808222062</v>
      </c>
    </row>
    <row r="30" spans="2:21">
      <c r="B30" s="2">
        <v>0.26</v>
      </c>
      <c r="C30" s="2">
        <v>0.31</v>
      </c>
      <c r="Q30" s="2">
        <v>0.22</v>
      </c>
      <c r="T30" s="2"/>
      <c r="U30" s="7">
        <f t="shared" si="0"/>
        <v>1.3424226808222062</v>
      </c>
    </row>
    <row r="31" spans="2:21">
      <c r="B31" s="2">
        <v>0.25</v>
      </c>
      <c r="C31" s="2">
        <v>0.27</v>
      </c>
      <c r="Q31" s="2">
        <v>0.22</v>
      </c>
      <c r="T31" s="2"/>
      <c r="U31" s="7">
        <f t="shared" si="0"/>
        <v>1.3424226808222062</v>
      </c>
    </row>
    <row r="32" spans="2:21">
      <c r="B32" s="2">
        <v>0.32</v>
      </c>
      <c r="C32" s="2">
        <v>0.31</v>
      </c>
      <c r="Q32" s="2">
        <v>0.23</v>
      </c>
      <c r="T32" s="2"/>
      <c r="U32" s="7">
        <f t="shared" si="0"/>
        <v>1.3617278360175931</v>
      </c>
    </row>
    <row r="33" spans="2:21">
      <c r="B33" s="2">
        <v>0.25</v>
      </c>
      <c r="C33" s="2">
        <v>0.26</v>
      </c>
      <c r="Q33" s="2">
        <v>0.23</v>
      </c>
      <c r="T33" s="2"/>
      <c r="U33" s="7">
        <f t="shared" si="0"/>
        <v>1.3617278360175931</v>
      </c>
    </row>
    <row r="34" spans="2:21">
      <c r="B34" s="2">
        <v>0.3</v>
      </c>
      <c r="C34" s="2">
        <v>0.28000000000000003</v>
      </c>
      <c r="Q34" s="2">
        <v>0.23</v>
      </c>
      <c r="T34" s="2"/>
      <c r="U34" s="7">
        <f t="shared" si="0"/>
        <v>1.3617278360175931</v>
      </c>
    </row>
    <row r="35" spans="2:21">
      <c r="B35" s="2">
        <v>0.34</v>
      </c>
      <c r="C35" s="2">
        <v>0.21</v>
      </c>
      <c r="Q35" s="2">
        <v>0.23</v>
      </c>
      <c r="T35" s="2"/>
      <c r="U35" s="7">
        <f t="shared" si="0"/>
        <v>1.3617278360175931</v>
      </c>
    </row>
    <row r="36" spans="2:21">
      <c r="B36" s="2">
        <v>0.28000000000000003</v>
      </c>
      <c r="C36" s="2">
        <v>0.25</v>
      </c>
      <c r="Q36" s="2">
        <v>0.23</v>
      </c>
      <c r="T36" s="2"/>
      <c r="U36" s="7">
        <f t="shared" si="0"/>
        <v>1.3617278360175931</v>
      </c>
    </row>
    <row r="37" spans="2:21">
      <c r="B37" s="2">
        <v>0.33</v>
      </c>
      <c r="C37" s="2">
        <v>0.24</v>
      </c>
      <c r="Q37" s="2">
        <v>0.23</v>
      </c>
      <c r="T37" s="2"/>
      <c r="U37" s="7">
        <f t="shared" si="0"/>
        <v>1.3617278360175931</v>
      </c>
    </row>
    <row r="38" spans="2:21">
      <c r="B38" s="2">
        <v>0.3</v>
      </c>
      <c r="C38" s="2">
        <v>0.24</v>
      </c>
      <c r="Q38" s="2">
        <v>0.23</v>
      </c>
      <c r="T38" s="2"/>
      <c r="U38" s="7">
        <f t="shared" si="0"/>
        <v>1.3617278360175931</v>
      </c>
    </row>
    <row r="39" spans="2:21">
      <c r="B39" s="2">
        <v>0.44</v>
      </c>
      <c r="C39" s="2">
        <v>0.24</v>
      </c>
      <c r="Q39" s="2">
        <v>0.24</v>
      </c>
      <c r="T39" s="2"/>
      <c r="U39" s="7">
        <f t="shared" si="0"/>
        <v>1.3802112417116059</v>
      </c>
    </row>
    <row r="40" spans="2:21">
      <c r="B40" s="2">
        <v>0.28999999999999998</v>
      </c>
      <c r="C40" s="2">
        <v>0.24</v>
      </c>
      <c r="Q40" s="2">
        <v>0.24</v>
      </c>
      <c r="T40" s="2"/>
      <c r="U40" s="7">
        <f t="shared" si="0"/>
        <v>1.3802112417116059</v>
      </c>
    </row>
    <row r="41" spans="2:21">
      <c r="B41" s="2">
        <v>0.55000000000000004</v>
      </c>
      <c r="C41" s="2">
        <v>0.25</v>
      </c>
      <c r="Q41" s="2">
        <v>0.24</v>
      </c>
      <c r="T41" s="2"/>
      <c r="U41" s="7">
        <f t="shared" si="0"/>
        <v>1.3802112417116059</v>
      </c>
    </row>
    <row r="42" spans="2:21">
      <c r="B42" s="2">
        <v>0.3</v>
      </c>
      <c r="C42" s="2">
        <v>0.28000000000000003</v>
      </c>
      <c r="Q42" s="2">
        <v>0.24</v>
      </c>
      <c r="T42" s="2"/>
      <c r="U42" s="7">
        <f t="shared" si="0"/>
        <v>1.3802112417116059</v>
      </c>
    </row>
    <row r="43" spans="2:21">
      <c r="B43" s="2">
        <v>0.38</v>
      </c>
      <c r="C43" s="2">
        <v>0.27</v>
      </c>
      <c r="Q43" s="2">
        <v>0.24</v>
      </c>
      <c r="T43" s="2"/>
      <c r="U43" s="7">
        <f t="shared" si="0"/>
        <v>1.3802112417116059</v>
      </c>
    </row>
    <row r="44" spans="2:21">
      <c r="B44" s="2">
        <v>0.32</v>
      </c>
      <c r="C44" s="2">
        <v>0.22</v>
      </c>
      <c r="Q44" s="2">
        <v>0.24</v>
      </c>
      <c r="T44" s="2"/>
      <c r="U44" s="7">
        <f t="shared" si="0"/>
        <v>1.3802112417116059</v>
      </c>
    </row>
    <row r="45" spans="2:21">
      <c r="B45" s="2">
        <v>0.27</v>
      </c>
      <c r="C45" s="2">
        <v>0.26</v>
      </c>
      <c r="Q45" s="2">
        <v>0.24</v>
      </c>
      <c r="T45" s="2"/>
      <c r="U45" s="7">
        <f t="shared" si="0"/>
        <v>1.3802112417116059</v>
      </c>
    </row>
    <row r="46" spans="2:21">
      <c r="B46" s="2">
        <v>0.35</v>
      </c>
      <c r="C46" s="2">
        <v>0.22</v>
      </c>
      <c r="Q46" s="2">
        <v>0.24</v>
      </c>
      <c r="T46" s="2"/>
      <c r="U46" s="7">
        <f t="shared" si="0"/>
        <v>1.3802112417116059</v>
      </c>
    </row>
    <row r="47" spans="2:21">
      <c r="B47" s="2">
        <v>0.28999999999999998</v>
      </c>
      <c r="C47" s="2">
        <v>0.27</v>
      </c>
      <c r="Q47" s="2">
        <v>0.24</v>
      </c>
      <c r="T47" s="2"/>
      <c r="U47" s="7">
        <f t="shared" si="0"/>
        <v>1.3802112417116059</v>
      </c>
    </row>
    <row r="48" spans="2:21">
      <c r="B48" s="2">
        <v>0.41</v>
      </c>
      <c r="C48" s="2">
        <v>0.28999999999999998</v>
      </c>
      <c r="Q48" s="2">
        <v>0.24</v>
      </c>
      <c r="T48" s="2"/>
      <c r="U48" s="7">
        <f t="shared" si="0"/>
        <v>1.3802112417116059</v>
      </c>
    </row>
    <row r="49" spans="2:21">
      <c r="B49" s="2">
        <v>0.47</v>
      </c>
      <c r="C49" s="2">
        <v>0.13</v>
      </c>
      <c r="Q49" s="2">
        <v>0.24</v>
      </c>
      <c r="T49" s="2"/>
      <c r="U49" s="7">
        <f t="shared" si="0"/>
        <v>1.3802112417116059</v>
      </c>
    </row>
    <row r="50" spans="2:21">
      <c r="B50" s="2">
        <v>0.31</v>
      </c>
      <c r="C50" s="2">
        <v>0.22</v>
      </c>
      <c r="Q50" s="2">
        <v>0.24</v>
      </c>
      <c r="T50" s="2"/>
      <c r="U50" s="7">
        <f t="shared" si="0"/>
        <v>1.3802112417116059</v>
      </c>
    </row>
    <row r="51" spans="2:21">
      <c r="B51" s="2">
        <v>0.25</v>
      </c>
      <c r="C51" s="2">
        <v>0.24</v>
      </c>
      <c r="Q51" s="2">
        <v>0.25</v>
      </c>
      <c r="T51" s="2"/>
      <c r="U51" s="7">
        <f t="shared" si="0"/>
        <v>1.3979400086720375</v>
      </c>
    </row>
    <row r="52" spans="2:21">
      <c r="B52" s="2">
        <v>0.27</v>
      </c>
      <c r="C52" s="2">
        <v>0.16</v>
      </c>
      <c r="Q52" s="2">
        <v>0.25</v>
      </c>
      <c r="T52" s="2"/>
      <c r="U52" s="7">
        <f t="shared" si="0"/>
        <v>1.3979400086720375</v>
      </c>
    </row>
    <row r="53" spans="2:21">
      <c r="B53" s="2">
        <v>0.21</v>
      </c>
      <c r="C53" s="2">
        <v>0.28000000000000003</v>
      </c>
      <c r="Q53" s="2">
        <v>0.25</v>
      </c>
      <c r="T53" s="2"/>
      <c r="U53" s="7">
        <f t="shared" si="0"/>
        <v>1.3979400086720375</v>
      </c>
    </row>
    <row r="54" spans="2:21">
      <c r="B54" s="2">
        <v>0.32</v>
      </c>
      <c r="C54" s="2">
        <v>0.28999999999999998</v>
      </c>
      <c r="Q54" s="2">
        <v>0.25</v>
      </c>
      <c r="T54" s="2"/>
      <c r="U54" s="7">
        <f t="shared" si="0"/>
        <v>1.3979400086720375</v>
      </c>
    </row>
    <row r="55" spans="2:21">
      <c r="B55" s="2">
        <v>0.31</v>
      </c>
      <c r="C55" s="2">
        <v>0.26</v>
      </c>
      <c r="Q55" s="2">
        <v>0.25</v>
      </c>
      <c r="T55" s="2"/>
      <c r="U55" s="7">
        <f t="shared" si="0"/>
        <v>1.3979400086720375</v>
      </c>
    </row>
    <row r="56" spans="2:21">
      <c r="B56" s="2">
        <v>0.22</v>
      </c>
      <c r="C56" s="2">
        <v>0.34</v>
      </c>
      <c r="Q56" s="2">
        <v>0.25</v>
      </c>
      <c r="T56" s="2"/>
      <c r="U56" s="7">
        <f t="shared" si="0"/>
        <v>1.3979400086720375</v>
      </c>
    </row>
    <row r="57" spans="2:21">
      <c r="B57" s="2">
        <v>0.27</v>
      </c>
      <c r="C57" s="2">
        <v>0.31</v>
      </c>
      <c r="Q57" s="2">
        <v>0.25</v>
      </c>
      <c r="T57" s="2"/>
      <c r="U57" s="7">
        <f t="shared" si="0"/>
        <v>1.3979400086720375</v>
      </c>
    </row>
    <row r="58" spans="2:21">
      <c r="B58" s="2">
        <v>0.23</v>
      </c>
      <c r="C58" s="2">
        <v>0.32</v>
      </c>
      <c r="Q58" s="2">
        <v>0.25</v>
      </c>
      <c r="T58" s="2"/>
      <c r="U58" s="7">
        <f t="shared" si="0"/>
        <v>1.3979400086720375</v>
      </c>
    </row>
    <row r="59" spans="2:21">
      <c r="B59" s="2">
        <v>0.31</v>
      </c>
      <c r="C59" s="2">
        <v>0.26</v>
      </c>
      <c r="Q59" s="2">
        <v>0.25</v>
      </c>
      <c r="T59" s="2"/>
      <c r="U59" s="7">
        <f t="shared" si="0"/>
        <v>1.3979400086720375</v>
      </c>
    </row>
    <row r="60" spans="2:21">
      <c r="B60" s="2">
        <v>0.36</v>
      </c>
      <c r="C60" s="2">
        <v>0.21</v>
      </c>
      <c r="Q60" s="2">
        <v>0.25</v>
      </c>
      <c r="T60" s="2"/>
      <c r="U60" s="7">
        <f t="shared" si="0"/>
        <v>1.3979400086720375</v>
      </c>
    </row>
    <row r="61" spans="2:21">
      <c r="B61" s="2">
        <v>0.33</v>
      </c>
      <c r="C61" s="2">
        <v>0.28000000000000003</v>
      </c>
      <c r="Q61" s="2">
        <v>0.25</v>
      </c>
      <c r="T61" s="2"/>
      <c r="U61" s="7">
        <f t="shared" si="0"/>
        <v>1.3979400086720375</v>
      </c>
    </row>
    <row r="62" spans="2:21">
      <c r="B62" s="2">
        <v>0.28999999999999998</v>
      </c>
      <c r="C62" s="2">
        <v>0.27</v>
      </c>
      <c r="Q62" s="2">
        <v>0.25</v>
      </c>
      <c r="T62" s="2"/>
      <c r="U62" s="7">
        <f t="shared" si="0"/>
        <v>1.3979400086720375</v>
      </c>
    </row>
    <row r="63" spans="2:21">
      <c r="B63" s="2">
        <v>0.23</v>
      </c>
      <c r="C63" s="2">
        <v>0.24</v>
      </c>
      <c r="Q63" s="2">
        <v>0.26</v>
      </c>
      <c r="T63" s="2"/>
      <c r="U63" s="7">
        <f t="shared" si="0"/>
        <v>1.414973347970818</v>
      </c>
    </row>
    <row r="64" spans="2:21">
      <c r="B64" s="2">
        <v>0.19</v>
      </c>
      <c r="C64" s="2">
        <v>0.24</v>
      </c>
      <c r="Q64" s="2">
        <v>0.26</v>
      </c>
      <c r="T64" s="2"/>
      <c r="U64" s="7">
        <f t="shared" si="0"/>
        <v>1.414973347970818</v>
      </c>
    </row>
    <row r="65" spans="2:21">
      <c r="B65" s="2">
        <v>0.24</v>
      </c>
      <c r="C65" s="2">
        <v>0.25</v>
      </c>
      <c r="Q65" s="2">
        <v>0.26</v>
      </c>
      <c r="T65" s="2"/>
      <c r="U65" s="7">
        <f t="shared" si="0"/>
        <v>1.414973347970818</v>
      </c>
    </row>
    <row r="66" spans="2:21">
      <c r="B66" s="2">
        <v>0.28999999999999998</v>
      </c>
      <c r="C66" s="2">
        <v>0.31</v>
      </c>
      <c r="Q66" s="2">
        <v>0.26</v>
      </c>
      <c r="T66" s="2"/>
      <c r="U66" s="7">
        <f t="shared" si="0"/>
        <v>1.414973347970818</v>
      </c>
    </row>
    <row r="67" spans="2:21">
      <c r="B67" s="2">
        <v>0.26</v>
      </c>
      <c r="C67" s="2">
        <v>0.18</v>
      </c>
      <c r="Q67" s="2">
        <v>0.26</v>
      </c>
      <c r="T67" s="2"/>
      <c r="U67" s="7">
        <f t="shared" si="0"/>
        <v>1.414973347970818</v>
      </c>
    </row>
    <row r="68" spans="2:21">
      <c r="B68" s="2">
        <v>0.27</v>
      </c>
      <c r="C68" s="2">
        <v>0.25</v>
      </c>
      <c r="Q68" s="2">
        <v>0.26</v>
      </c>
      <c r="T68" s="2"/>
      <c r="U68" s="7">
        <f t="shared" si="0"/>
        <v>1.414973347970818</v>
      </c>
    </row>
    <row r="69" spans="2:21">
      <c r="B69" s="2">
        <v>0.31</v>
      </c>
      <c r="C69" s="2">
        <v>0.25</v>
      </c>
      <c r="Q69" s="2">
        <v>0.26</v>
      </c>
      <c r="T69" s="2"/>
      <c r="U69" s="7">
        <f t="shared" si="0"/>
        <v>1.414973347970818</v>
      </c>
    </row>
    <row r="70" spans="2:21">
      <c r="B70" s="2">
        <v>0.28999999999999998</v>
      </c>
      <c r="C70" s="2">
        <v>0.32</v>
      </c>
      <c r="Q70" s="2">
        <v>0.26</v>
      </c>
      <c r="T70" s="2"/>
      <c r="U70" s="7">
        <f t="shared" si="0"/>
        <v>1.414973347970818</v>
      </c>
    </row>
    <row r="71" spans="2:21">
      <c r="B71" s="2"/>
      <c r="C71" s="2">
        <v>0.34</v>
      </c>
      <c r="Q71" s="2">
        <v>0.26</v>
      </c>
      <c r="T71" s="2"/>
      <c r="U71" s="7">
        <f t="shared" si="0"/>
        <v>1.414973347970818</v>
      </c>
    </row>
    <row r="72" spans="2:21">
      <c r="B72" s="2"/>
      <c r="C72" s="2">
        <v>0.21</v>
      </c>
      <c r="Q72" s="2">
        <v>0.26</v>
      </c>
      <c r="T72" s="2"/>
      <c r="U72" s="7">
        <f t="shared" si="0"/>
        <v>1.414973347970818</v>
      </c>
    </row>
    <row r="73" spans="2:21">
      <c r="B73" s="2"/>
      <c r="C73" s="2">
        <v>0.31</v>
      </c>
      <c r="Q73" s="2">
        <v>0.26</v>
      </c>
      <c r="T73" s="2"/>
      <c r="U73" s="7">
        <f t="shared" si="0"/>
        <v>1.414973347970818</v>
      </c>
    </row>
    <row r="74" spans="2:21">
      <c r="B74" s="2"/>
      <c r="C74" s="2">
        <v>0.28000000000000003</v>
      </c>
      <c r="Q74" s="2">
        <v>0.27</v>
      </c>
      <c r="T74" s="2"/>
      <c r="U74" s="7">
        <f t="shared" si="0"/>
        <v>1.4313637641589874</v>
      </c>
    </row>
    <row r="75" spans="2:21">
      <c r="B75" s="2"/>
      <c r="C75" s="2">
        <v>0.28000000000000003</v>
      </c>
      <c r="Q75" s="2">
        <v>0.27</v>
      </c>
      <c r="T75" s="2"/>
      <c r="U75" s="7">
        <f t="shared" ref="U75:U138" si="1">2+LOG($Q75)</f>
        <v>1.4313637641589874</v>
      </c>
    </row>
    <row r="76" spans="2:21">
      <c r="B76" s="2"/>
      <c r="C76" s="2">
        <v>0.28999999999999998</v>
      </c>
      <c r="Q76" s="2">
        <v>0.27</v>
      </c>
      <c r="T76" s="2"/>
      <c r="U76" s="7">
        <f t="shared" si="1"/>
        <v>1.4313637641589874</v>
      </c>
    </row>
    <row r="77" spans="2:21">
      <c r="B77" s="2"/>
      <c r="C77" s="2">
        <v>0.26</v>
      </c>
      <c r="Q77" s="2">
        <v>0.27</v>
      </c>
      <c r="T77" s="2"/>
      <c r="U77" s="7">
        <f t="shared" si="1"/>
        <v>1.4313637641589874</v>
      </c>
    </row>
    <row r="78" spans="2:21">
      <c r="B78" s="2"/>
      <c r="C78" s="2">
        <v>0.28999999999999998</v>
      </c>
      <c r="Q78" s="2">
        <v>0.27</v>
      </c>
      <c r="T78" s="2"/>
      <c r="U78" s="7">
        <f t="shared" si="1"/>
        <v>1.4313637641589874</v>
      </c>
    </row>
    <row r="79" spans="2:21">
      <c r="C79" s="2">
        <v>0.04</v>
      </c>
      <c r="Q79" s="2">
        <v>0.27</v>
      </c>
      <c r="T79" s="2"/>
      <c r="U79" s="7">
        <f t="shared" si="1"/>
        <v>1.4313637641589874</v>
      </c>
    </row>
    <row r="80" spans="2:21">
      <c r="C80" s="2">
        <v>0.36</v>
      </c>
      <c r="Q80" s="2">
        <v>0.27</v>
      </c>
      <c r="T80" s="2"/>
      <c r="U80" s="7">
        <f t="shared" si="1"/>
        <v>1.4313637641589874</v>
      </c>
    </row>
    <row r="81" spans="3:21">
      <c r="C81" s="2">
        <v>0.28000000000000003</v>
      </c>
      <c r="Q81" s="2">
        <v>0.27</v>
      </c>
      <c r="T81" s="2"/>
      <c r="U81" s="7">
        <f t="shared" si="1"/>
        <v>1.4313637641589874</v>
      </c>
    </row>
    <row r="82" spans="3:21">
      <c r="C82" s="2">
        <v>0.23</v>
      </c>
      <c r="Q82" s="2">
        <v>0.27</v>
      </c>
      <c r="T82" s="2"/>
      <c r="U82" s="7">
        <f t="shared" si="1"/>
        <v>1.4313637641589874</v>
      </c>
    </row>
    <row r="83" spans="3:21">
      <c r="C83" s="2">
        <v>0.23</v>
      </c>
      <c r="Q83" s="2">
        <v>0.27</v>
      </c>
      <c r="T83" s="2"/>
      <c r="U83" s="7">
        <f t="shared" si="1"/>
        <v>1.4313637641589874</v>
      </c>
    </row>
    <row r="84" spans="3:21">
      <c r="C84" s="2">
        <v>0.28999999999999998</v>
      </c>
      <c r="Q84" s="2">
        <v>0.27</v>
      </c>
      <c r="T84" s="2"/>
      <c r="U84" s="7">
        <f t="shared" si="1"/>
        <v>1.4313637641589874</v>
      </c>
    </row>
    <row r="85" spans="3:21">
      <c r="C85" s="2">
        <v>0.32</v>
      </c>
      <c r="Q85" s="2">
        <v>0.27</v>
      </c>
      <c r="T85" s="2"/>
      <c r="U85" s="7">
        <f t="shared" si="1"/>
        <v>1.4313637641589874</v>
      </c>
    </row>
    <row r="86" spans="3:21">
      <c r="C86" s="2">
        <v>0.16</v>
      </c>
      <c r="Q86" s="2">
        <v>0.27</v>
      </c>
      <c r="T86" s="2"/>
      <c r="U86" s="7">
        <f t="shared" si="1"/>
        <v>1.4313637641589874</v>
      </c>
    </row>
    <row r="87" spans="3:21">
      <c r="C87" s="2">
        <v>3.88</v>
      </c>
      <c r="Q87" s="2">
        <v>0.27</v>
      </c>
      <c r="T87" s="2"/>
      <c r="U87" s="7">
        <f t="shared" si="1"/>
        <v>1.4313637641589874</v>
      </c>
    </row>
    <row r="88" spans="3:21">
      <c r="C88" s="2">
        <v>6.21</v>
      </c>
      <c r="Q88" s="2">
        <v>0.28000000000000003</v>
      </c>
      <c r="T88" s="2"/>
      <c r="U88" s="7">
        <f t="shared" si="1"/>
        <v>1.4471580313422192</v>
      </c>
    </row>
    <row r="89" spans="3:21">
      <c r="C89" s="2">
        <v>0.24</v>
      </c>
      <c r="Q89" s="2">
        <v>0.28000000000000003</v>
      </c>
      <c r="T89" s="2"/>
      <c r="U89" s="7">
        <f t="shared" si="1"/>
        <v>1.4471580313422192</v>
      </c>
    </row>
    <row r="90" spans="3:21">
      <c r="C90" s="2">
        <v>0.38</v>
      </c>
      <c r="Q90" s="2">
        <v>0.28000000000000003</v>
      </c>
      <c r="T90" s="2"/>
      <c r="U90" s="7">
        <f t="shared" si="1"/>
        <v>1.4471580313422192</v>
      </c>
    </row>
    <row r="91" spans="3:21">
      <c r="C91" s="2">
        <v>0.28000000000000003</v>
      </c>
      <c r="Q91" s="2">
        <v>0.28000000000000003</v>
      </c>
      <c r="T91" s="2"/>
      <c r="U91" s="7">
        <f t="shared" si="1"/>
        <v>1.4471580313422192</v>
      </c>
    </row>
    <row r="92" spans="3:21">
      <c r="C92" s="2">
        <v>0.23</v>
      </c>
      <c r="Q92" s="2">
        <v>0.28000000000000003</v>
      </c>
      <c r="T92" s="2"/>
      <c r="U92" s="7">
        <f t="shared" si="1"/>
        <v>1.4471580313422192</v>
      </c>
    </row>
    <row r="93" spans="3:21">
      <c r="C93" s="2">
        <v>0.25</v>
      </c>
      <c r="Q93" s="2">
        <v>0.28000000000000003</v>
      </c>
      <c r="T93" s="2"/>
      <c r="U93" s="7">
        <f t="shared" si="1"/>
        <v>1.4471580313422192</v>
      </c>
    </row>
    <row r="94" spans="3:21">
      <c r="C94" s="2">
        <v>0.37</v>
      </c>
      <c r="Q94" s="2">
        <v>0.28000000000000003</v>
      </c>
      <c r="T94" s="2"/>
      <c r="U94" s="7">
        <f t="shared" si="1"/>
        <v>1.4471580313422192</v>
      </c>
    </row>
    <row r="95" spans="3:21">
      <c r="C95" s="2">
        <v>0.27</v>
      </c>
      <c r="Q95" s="2">
        <v>0.28000000000000003</v>
      </c>
      <c r="T95" s="2"/>
      <c r="U95" s="7">
        <f t="shared" si="1"/>
        <v>1.4471580313422192</v>
      </c>
    </row>
    <row r="96" spans="3:21">
      <c r="C96" s="2">
        <v>0.27</v>
      </c>
      <c r="Q96" s="2">
        <v>0.28000000000000003</v>
      </c>
      <c r="T96" s="2"/>
      <c r="U96" s="7">
        <f t="shared" si="1"/>
        <v>1.4471580313422192</v>
      </c>
    </row>
    <row r="97" spans="3:21">
      <c r="C97" s="2">
        <v>0.33</v>
      </c>
      <c r="Q97" s="2">
        <v>0.28000000000000003</v>
      </c>
      <c r="T97" s="2"/>
      <c r="U97" s="7">
        <f t="shared" si="1"/>
        <v>1.4471580313422192</v>
      </c>
    </row>
    <row r="98" spans="3:21">
      <c r="C98" s="2">
        <v>0.36</v>
      </c>
      <c r="Q98" s="2">
        <v>0.28000000000000003</v>
      </c>
      <c r="T98" s="2"/>
      <c r="U98" s="7">
        <f t="shared" si="1"/>
        <v>1.4471580313422192</v>
      </c>
    </row>
    <row r="99" spans="3:21">
      <c r="C99" s="2">
        <v>0.26</v>
      </c>
      <c r="Q99" s="2">
        <v>0.28999999999999998</v>
      </c>
      <c r="T99" s="2"/>
      <c r="U99" s="7">
        <f t="shared" si="1"/>
        <v>1.4623979978989561</v>
      </c>
    </row>
    <row r="100" spans="3:21">
      <c r="C100" s="2">
        <v>0.3</v>
      </c>
      <c r="Q100" s="2">
        <v>0.28999999999999998</v>
      </c>
      <c r="T100" s="2"/>
      <c r="U100" s="7">
        <f t="shared" si="1"/>
        <v>1.4623979978989561</v>
      </c>
    </row>
    <row r="101" spans="3:21">
      <c r="C101" s="2">
        <v>0.31</v>
      </c>
      <c r="Q101" s="2">
        <v>0.28999999999999998</v>
      </c>
      <c r="T101" s="2"/>
      <c r="U101" s="7">
        <f t="shared" si="1"/>
        <v>1.4623979978989561</v>
      </c>
    </row>
    <row r="102" spans="3:21">
      <c r="C102" s="2">
        <v>0.28000000000000003</v>
      </c>
      <c r="Q102" s="2">
        <v>0.28999999999999998</v>
      </c>
      <c r="T102" s="2"/>
      <c r="U102" s="7">
        <f t="shared" si="1"/>
        <v>1.4623979978989561</v>
      </c>
    </row>
    <row r="103" spans="3:21">
      <c r="C103" s="2">
        <v>0.22</v>
      </c>
      <c r="Q103" s="2">
        <v>0.28999999999999998</v>
      </c>
      <c r="T103" s="2"/>
      <c r="U103" s="7">
        <f t="shared" si="1"/>
        <v>1.4623979978989561</v>
      </c>
    </row>
    <row r="104" spans="3:21">
      <c r="C104" s="2">
        <v>0.36</v>
      </c>
      <c r="Q104" s="2">
        <v>0.28999999999999998</v>
      </c>
      <c r="T104" s="2"/>
      <c r="U104" s="7">
        <f t="shared" si="1"/>
        <v>1.4623979978989561</v>
      </c>
    </row>
    <row r="105" spans="3:21">
      <c r="C105" s="2">
        <v>0.55000000000000004</v>
      </c>
      <c r="Q105" s="2">
        <v>0.28999999999999998</v>
      </c>
      <c r="T105" s="2"/>
      <c r="U105" s="7">
        <f t="shared" si="1"/>
        <v>1.4623979978989561</v>
      </c>
    </row>
    <row r="106" spans="3:21">
      <c r="C106" s="2">
        <v>0.35</v>
      </c>
      <c r="Q106" s="2">
        <v>0.28999999999999998</v>
      </c>
      <c r="T106" s="2"/>
      <c r="U106" s="7">
        <f t="shared" si="1"/>
        <v>1.4623979978989561</v>
      </c>
    </row>
    <row r="107" spans="3:21">
      <c r="C107" s="2">
        <v>0.18</v>
      </c>
      <c r="Q107" s="2">
        <v>0.28999999999999998</v>
      </c>
      <c r="T107" s="2"/>
      <c r="U107" s="7">
        <f t="shared" si="1"/>
        <v>1.4623979978989561</v>
      </c>
    </row>
    <row r="108" spans="3:21">
      <c r="C108" s="2">
        <v>0.22</v>
      </c>
      <c r="Q108" s="2">
        <v>0.28999999999999998</v>
      </c>
      <c r="T108" s="2"/>
      <c r="U108" s="7">
        <f t="shared" si="1"/>
        <v>1.4623979978989561</v>
      </c>
    </row>
    <row r="109" spans="3:21">
      <c r="C109" s="2">
        <v>0.36</v>
      </c>
      <c r="Q109" s="2">
        <v>0.28999999999999998</v>
      </c>
      <c r="T109" s="2"/>
      <c r="U109" s="7">
        <f t="shared" si="1"/>
        <v>1.4623979978989561</v>
      </c>
    </row>
    <row r="110" spans="3:21">
      <c r="C110" s="2">
        <v>0.31</v>
      </c>
      <c r="Q110" s="2">
        <v>0.28999999999999998</v>
      </c>
      <c r="T110" s="2"/>
      <c r="U110" s="7">
        <f t="shared" si="1"/>
        <v>1.4623979978989561</v>
      </c>
    </row>
    <row r="111" spans="3:21">
      <c r="C111" s="2">
        <v>0.38</v>
      </c>
      <c r="Q111" s="2">
        <v>0.28999999999999998</v>
      </c>
      <c r="T111" s="2"/>
      <c r="U111" s="7">
        <f t="shared" si="1"/>
        <v>1.4623979978989561</v>
      </c>
    </row>
    <row r="112" spans="3:21">
      <c r="C112" s="2">
        <v>0.26</v>
      </c>
      <c r="Q112" s="2">
        <v>0.28999999999999998</v>
      </c>
      <c r="T112" s="2"/>
      <c r="U112" s="7">
        <f t="shared" si="1"/>
        <v>1.4623979978989561</v>
      </c>
    </row>
    <row r="113" spans="1:21">
      <c r="C113" s="2">
        <v>0.32</v>
      </c>
      <c r="Q113" s="2">
        <v>0.3</v>
      </c>
      <c r="T113" s="2"/>
      <c r="U113" s="7">
        <f t="shared" si="1"/>
        <v>1.4771212547196624</v>
      </c>
    </row>
    <row r="114" spans="1:21">
      <c r="C114" s="2"/>
      <c r="Q114" s="2">
        <v>0.3</v>
      </c>
      <c r="T114" s="2"/>
      <c r="U114" s="7">
        <f t="shared" si="1"/>
        <v>1.4771212547196624</v>
      </c>
    </row>
    <row r="115" spans="1:21">
      <c r="A115" t="s">
        <v>9</v>
      </c>
      <c r="B115" s="2">
        <f>SUM(B$10:B$70)/61</f>
        <v>0.30836065573770488</v>
      </c>
      <c r="C115" s="2">
        <f>SUM(C$10:C$113)/104</f>
        <v>0.36394230769230773</v>
      </c>
      <c r="Q115" s="2">
        <v>0.3</v>
      </c>
      <c r="T115" s="2"/>
      <c r="U115" s="7">
        <f t="shared" si="1"/>
        <v>1.4771212547196624</v>
      </c>
    </row>
    <row r="116" spans="1:21">
      <c r="A116" t="s">
        <v>10</v>
      </c>
      <c r="B116" s="2">
        <f>MEDIAN(B$10:B$70)</f>
        <v>0.3</v>
      </c>
      <c r="C116" s="2">
        <f>MEDIAN(C$10:C$113)</f>
        <v>0.27</v>
      </c>
      <c r="Q116" s="2">
        <v>0.3</v>
      </c>
      <c r="T116" s="2"/>
      <c r="U116" s="7">
        <f t="shared" si="1"/>
        <v>1.4771212547196624</v>
      </c>
    </row>
    <row r="117" spans="1:21">
      <c r="A117" t="s">
        <v>11</v>
      </c>
      <c r="B117">
        <f>SMALL(B10:B70, 61)</f>
        <v>0.55000000000000004</v>
      </c>
      <c r="C117">
        <f>SMALL(C10:C113, 104)</f>
        <v>6.21</v>
      </c>
      <c r="Q117" s="2">
        <v>0.3</v>
      </c>
      <c r="T117" s="2"/>
      <c r="U117" s="7">
        <f t="shared" si="1"/>
        <v>1.4771212547196624</v>
      </c>
    </row>
    <row r="118" spans="1:21">
      <c r="A118" t="s">
        <v>12</v>
      </c>
      <c r="B118">
        <f>SMALL(B10:B70, 1)</f>
        <v>0.09</v>
      </c>
      <c r="C118">
        <f>SMALL(C10:C113, 1)</f>
        <v>0.04</v>
      </c>
      <c r="Q118" s="2">
        <v>0.31</v>
      </c>
      <c r="T118" s="2"/>
      <c r="U118" s="7">
        <f t="shared" si="1"/>
        <v>1.4913616938342726</v>
      </c>
    </row>
    <row r="119" spans="1:21">
      <c r="C119" s="2"/>
      <c r="Q119" s="2">
        <v>0.31</v>
      </c>
      <c r="T119" s="2"/>
      <c r="U119" s="7">
        <f t="shared" si="1"/>
        <v>1.4913616938342726</v>
      </c>
    </row>
    <row r="120" spans="1:21">
      <c r="C120" s="2"/>
      <c r="Q120" s="2">
        <v>0.31</v>
      </c>
      <c r="T120" s="2"/>
      <c r="U120" s="7">
        <f t="shared" si="1"/>
        <v>1.4913616938342726</v>
      </c>
    </row>
    <row r="121" spans="1:21">
      <c r="Q121" s="2">
        <v>0.31</v>
      </c>
      <c r="T121" s="2"/>
      <c r="U121" s="7">
        <f t="shared" si="1"/>
        <v>1.4913616938342726</v>
      </c>
    </row>
    <row r="122" spans="1:21">
      <c r="Q122" s="2">
        <v>0.31</v>
      </c>
      <c r="T122" s="2"/>
      <c r="U122" s="7">
        <f t="shared" si="1"/>
        <v>1.4913616938342726</v>
      </c>
    </row>
    <row r="123" spans="1:21">
      <c r="Q123" s="2">
        <v>0.31</v>
      </c>
      <c r="T123" s="2"/>
      <c r="U123" s="7">
        <f t="shared" si="1"/>
        <v>1.4913616938342726</v>
      </c>
    </row>
    <row r="124" spans="1:21">
      <c r="Q124" s="2">
        <v>0.31</v>
      </c>
      <c r="T124" s="2"/>
      <c r="U124" s="7">
        <f t="shared" si="1"/>
        <v>1.4913616938342726</v>
      </c>
    </row>
    <row r="125" spans="1:21">
      <c r="Q125" s="2">
        <v>0.31</v>
      </c>
      <c r="T125" s="2"/>
      <c r="U125" s="7">
        <f t="shared" si="1"/>
        <v>1.4913616938342726</v>
      </c>
    </row>
    <row r="126" spans="1:21">
      <c r="Q126" s="2">
        <v>0.31</v>
      </c>
      <c r="T126" s="2"/>
      <c r="U126" s="7">
        <f t="shared" si="1"/>
        <v>1.4913616938342726</v>
      </c>
    </row>
    <row r="127" spans="1:21">
      <c r="Q127" s="2">
        <v>0.31</v>
      </c>
      <c r="T127" s="2"/>
      <c r="U127" s="7">
        <f t="shared" si="1"/>
        <v>1.4913616938342726</v>
      </c>
    </row>
    <row r="128" spans="1:21">
      <c r="Q128" s="2">
        <v>0.31</v>
      </c>
      <c r="T128" s="2"/>
      <c r="U128" s="7">
        <f t="shared" si="1"/>
        <v>1.4913616938342726</v>
      </c>
    </row>
    <row r="129" spans="17:21">
      <c r="Q129" s="2">
        <v>0.31</v>
      </c>
      <c r="T129" s="2"/>
      <c r="U129" s="7">
        <f t="shared" si="1"/>
        <v>1.4913616938342726</v>
      </c>
    </row>
    <row r="130" spans="17:21">
      <c r="Q130" s="2">
        <v>0.32</v>
      </c>
      <c r="T130" s="2"/>
      <c r="U130" s="7">
        <f t="shared" si="1"/>
        <v>1.505149978319906</v>
      </c>
    </row>
    <row r="131" spans="17:21">
      <c r="Q131" s="2">
        <v>0.32</v>
      </c>
      <c r="T131" s="2"/>
      <c r="U131" s="7">
        <f t="shared" si="1"/>
        <v>1.505149978319906</v>
      </c>
    </row>
    <row r="132" spans="17:21">
      <c r="Q132" s="2">
        <v>0.32</v>
      </c>
      <c r="T132" s="2"/>
      <c r="U132" s="7">
        <f t="shared" si="1"/>
        <v>1.505149978319906</v>
      </c>
    </row>
    <row r="133" spans="17:21">
      <c r="Q133" s="2">
        <v>0.32</v>
      </c>
      <c r="T133" s="2"/>
      <c r="U133" s="7">
        <f t="shared" si="1"/>
        <v>1.505149978319906</v>
      </c>
    </row>
    <row r="134" spans="17:21">
      <c r="Q134" s="2">
        <v>0.32</v>
      </c>
      <c r="T134" s="2"/>
      <c r="U134" s="7">
        <f t="shared" si="1"/>
        <v>1.505149978319906</v>
      </c>
    </row>
    <row r="135" spans="17:21">
      <c r="Q135" s="2">
        <v>0.32</v>
      </c>
      <c r="T135" s="2"/>
      <c r="U135" s="7">
        <f t="shared" si="1"/>
        <v>1.505149978319906</v>
      </c>
    </row>
    <row r="136" spans="17:21">
      <c r="Q136" s="2">
        <v>0.32</v>
      </c>
      <c r="T136" s="2"/>
      <c r="U136" s="7">
        <f t="shared" si="1"/>
        <v>1.505149978319906</v>
      </c>
    </row>
    <row r="137" spans="17:21">
      <c r="Q137" s="2">
        <v>0.32</v>
      </c>
      <c r="T137" s="2"/>
      <c r="U137" s="7">
        <f t="shared" si="1"/>
        <v>1.505149978319906</v>
      </c>
    </row>
    <row r="138" spans="17:21">
      <c r="Q138" s="2">
        <v>0.33</v>
      </c>
      <c r="T138" s="2"/>
      <c r="U138" s="7">
        <f t="shared" si="1"/>
        <v>1.5185139398778875</v>
      </c>
    </row>
    <row r="139" spans="17:21">
      <c r="Q139" s="2">
        <v>0.33</v>
      </c>
      <c r="T139" s="2"/>
      <c r="U139" s="7">
        <f t="shared" ref="U139:U174" si="2">2+LOG($Q139)</f>
        <v>1.5185139398778875</v>
      </c>
    </row>
    <row r="140" spans="17:21">
      <c r="Q140" s="2">
        <v>0.33</v>
      </c>
      <c r="T140" s="2"/>
      <c r="U140" s="7">
        <f t="shared" si="2"/>
        <v>1.5185139398778875</v>
      </c>
    </row>
    <row r="141" spans="17:21">
      <c r="Q141" s="2">
        <v>0.33</v>
      </c>
      <c r="T141" s="2"/>
      <c r="U141" s="7">
        <f t="shared" si="2"/>
        <v>1.5185139398778875</v>
      </c>
    </row>
    <row r="142" spans="17:21">
      <c r="Q142" s="2">
        <v>0.33</v>
      </c>
      <c r="T142" s="2"/>
      <c r="U142" s="7">
        <f t="shared" si="2"/>
        <v>1.5185139398778875</v>
      </c>
    </row>
    <row r="143" spans="17:21">
      <c r="Q143" s="2">
        <v>0.33</v>
      </c>
      <c r="T143" s="2"/>
      <c r="U143" s="7">
        <f t="shared" si="2"/>
        <v>1.5185139398778875</v>
      </c>
    </row>
    <row r="144" spans="17:21">
      <c r="Q144" s="2">
        <v>0.34</v>
      </c>
      <c r="T144" s="2"/>
      <c r="U144" s="7">
        <f t="shared" si="2"/>
        <v>1.5314789170422551</v>
      </c>
    </row>
    <row r="145" spans="17:21">
      <c r="Q145" s="2">
        <v>0.34</v>
      </c>
      <c r="T145" s="2"/>
      <c r="U145" s="7">
        <f t="shared" si="2"/>
        <v>1.5314789170422551</v>
      </c>
    </row>
    <row r="146" spans="17:21">
      <c r="Q146" s="2">
        <v>0.34</v>
      </c>
      <c r="T146" s="2"/>
      <c r="U146" s="7">
        <f t="shared" si="2"/>
        <v>1.5314789170422551</v>
      </c>
    </row>
    <row r="147" spans="17:21">
      <c r="Q147" s="2">
        <v>0.34</v>
      </c>
      <c r="T147" s="2"/>
      <c r="U147" s="7">
        <f t="shared" si="2"/>
        <v>1.5314789170422551</v>
      </c>
    </row>
    <row r="148" spans="17:21">
      <c r="Q148" s="2">
        <v>0.35</v>
      </c>
      <c r="T148" s="2"/>
      <c r="U148" s="7">
        <f t="shared" si="2"/>
        <v>1.5440680443502757</v>
      </c>
    </row>
    <row r="149" spans="17:21">
      <c r="Q149" s="2">
        <v>0.35</v>
      </c>
      <c r="T149" s="2"/>
      <c r="U149" s="7">
        <f t="shared" si="2"/>
        <v>1.5440680443502757</v>
      </c>
    </row>
    <row r="150" spans="17:21">
      <c r="Q150" s="2">
        <v>0.35</v>
      </c>
      <c r="T150" s="2"/>
      <c r="U150" s="7">
        <f t="shared" si="2"/>
        <v>1.5440680443502757</v>
      </c>
    </row>
    <row r="151" spans="17:21">
      <c r="Q151" s="2">
        <v>0.36</v>
      </c>
      <c r="T151" s="2"/>
      <c r="U151" s="7">
        <f t="shared" si="2"/>
        <v>1.5563025007672873</v>
      </c>
    </row>
    <row r="152" spans="17:21">
      <c r="Q152" s="2">
        <v>0.36</v>
      </c>
      <c r="T152" s="2"/>
      <c r="U152" s="7">
        <f t="shared" si="2"/>
        <v>1.5563025007672873</v>
      </c>
    </row>
    <row r="153" spans="17:21">
      <c r="Q153" s="2">
        <v>0.36</v>
      </c>
      <c r="T153" s="2"/>
      <c r="U153" s="7">
        <f t="shared" si="2"/>
        <v>1.5563025007672873</v>
      </c>
    </row>
    <row r="154" spans="17:21">
      <c r="Q154" s="2">
        <v>0.36</v>
      </c>
      <c r="T154" s="2"/>
      <c r="U154" s="7">
        <f t="shared" si="2"/>
        <v>1.5563025007672873</v>
      </c>
    </row>
    <row r="155" spans="17:21">
      <c r="Q155" s="2">
        <v>0.36</v>
      </c>
      <c r="T155" s="2"/>
      <c r="U155" s="7">
        <f t="shared" si="2"/>
        <v>1.5563025007672873</v>
      </c>
    </row>
    <row r="156" spans="17:21">
      <c r="Q156" s="2">
        <v>0.36</v>
      </c>
      <c r="T156" s="2"/>
      <c r="U156" s="7">
        <f t="shared" si="2"/>
        <v>1.5563025007672873</v>
      </c>
    </row>
    <row r="157" spans="17:21">
      <c r="Q157" s="2">
        <v>0.37</v>
      </c>
      <c r="T157" s="2"/>
      <c r="U157" s="7">
        <f t="shared" si="2"/>
        <v>1.568201724066995</v>
      </c>
    </row>
    <row r="158" spans="17:21">
      <c r="Q158" s="2">
        <v>0.37</v>
      </c>
      <c r="T158" s="2"/>
      <c r="U158" s="7">
        <f t="shared" si="2"/>
        <v>1.568201724066995</v>
      </c>
    </row>
    <row r="159" spans="17:21">
      <c r="Q159" s="2">
        <v>0.38</v>
      </c>
      <c r="T159" s="2"/>
      <c r="U159" s="7">
        <f t="shared" si="2"/>
        <v>1.5797835966168101</v>
      </c>
    </row>
    <row r="160" spans="17:21">
      <c r="Q160" s="2">
        <v>0.38</v>
      </c>
      <c r="T160" s="2"/>
      <c r="U160" s="7">
        <f t="shared" si="2"/>
        <v>1.5797835966168101</v>
      </c>
    </row>
    <row r="161" spans="13:21">
      <c r="Q161" s="2">
        <v>0.38</v>
      </c>
      <c r="T161" s="2"/>
      <c r="U161" s="7">
        <f t="shared" si="2"/>
        <v>1.5797835966168101</v>
      </c>
    </row>
    <row r="162" spans="13:21">
      <c r="Q162" s="2">
        <v>0.38</v>
      </c>
      <c r="T162" s="2"/>
      <c r="U162" s="7">
        <f t="shared" si="2"/>
        <v>1.5797835966168101</v>
      </c>
    </row>
    <row r="163" spans="13:21">
      <c r="Q163" s="2">
        <v>0.41</v>
      </c>
      <c r="T163" s="2"/>
      <c r="U163" s="7">
        <f t="shared" si="2"/>
        <v>1.6127838567197355</v>
      </c>
    </row>
    <row r="164" spans="13:21">
      <c r="Q164" s="2">
        <v>0.42</v>
      </c>
      <c r="T164" s="2"/>
      <c r="U164" s="7">
        <f t="shared" si="2"/>
        <v>1.6232492903979003</v>
      </c>
    </row>
    <row r="165" spans="13:21">
      <c r="Q165" s="2">
        <v>0.42</v>
      </c>
      <c r="T165" s="2"/>
      <c r="U165" s="7">
        <f t="shared" si="2"/>
        <v>1.6232492903979003</v>
      </c>
    </row>
    <row r="166" spans="13:21">
      <c r="Q166" s="2">
        <v>0.42</v>
      </c>
      <c r="T166" s="2"/>
      <c r="U166" s="7">
        <f t="shared" si="2"/>
        <v>1.6232492903979003</v>
      </c>
    </row>
    <row r="167" spans="13:21">
      <c r="Q167" s="2">
        <v>0.44</v>
      </c>
      <c r="T167" s="2"/>
      <c r="U167" s="7">
        <f t="shared" si="2"/>
        <v>1.6434526764861874</v>
      </c>
    </row>
    <row r="168" spans="13:21">
      <c r="Q168" s="2">
        <v>0.47</v>
      </c>
      <c r="T168" s="2"/>
      <c r="U168" s="7">
        <f t="shared" si="2"/>
        <v>1.6720978579357175</v>
      </c>
    </row>
    <row r="169" spans="13:21">
      <c r="Q169" s="2">
        <v>0.51</v>
      </c>
      <c r="T169" s="2"/>
      <c r="U169" s="7">
        <f t="shared" si="2"/>
        <v>1.7075701760979363</v>
      </c>
    </row>
    <row r="170" spans="13:21">
      <c r="Q170" s="2">
        <v>0.53</v>
      </c>
      <c r="T170" s="2"/>
      <c r="U170" s="7">
        <f t="shared" si="2"/>
        <v>1.7242758696007892</v>
      </c>
    </row>
    <row r="171" spans="13:21">
      <c r="Q171" s="2">
        <v>0.55000000000000004</v>
      </c>
      <c r="T171" s="2"/>
      <c r="U171" s="7">
        <f t="shared" si="2"/>
        <v>1.7403626894942439</v>
      </c>
    </row>
    <row r="172" spans="13:21">
      <c r="Q172" s="2">
        <v>0.55000000000000004</v>
      </c>
      <c r="T172" s="2"/>
      <c r="U172" s="7">
        <f t="shared" si="2"/>
        <v>1.7403626894942439</v>
      </c>
    </row>
    <row r="173" spans="13:21">
      <c r="Q173" s="2">
        <v>3.88</v>
      </c>
      <c r="T173" s="2"/>
      <c r="U173" s="7">
        <f t="shared" si="2"/>
        <v>2.5888317255942073</v>
      </c>
    </row>
    <row r="174" spans="13:21">
      <c r="M174" t="s">
        <v>67</v>
      </c>
      <c r="N174" s="2">
        <f>MEDIAN(Q10:Q174)</f>
        <v>0.28000000000000003</v>
      </c>
      <c r="Q174" s="2">
        <v>6.21</v>
      </c>
      <c r="T174" s="2"/>
      <c r="U174" s="7">
        <f t="shared" si="2"/>
        <v>2.79309160017658</v>
      </c>
    </row>
  </sheetData>
  <sortState ref="Q10:Q174">
    <sortCondition ref="Q10"/>
  </sortState>
  <pageMargins left="0.7" right="0.7" top="0.75" bottom="0.75" header="0.3" footer="0.3"/>
  <pageSetup paperSize="9" orientation="portrait" r:id="rId1"/>
  <ignoredErrors>
    <ignoredError sqref="B3:C3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6"/>
  <sheetViews>
    <sheetView workbookViewId="0">
      <selection activeCell="B111" sqref="B111"/>
    </sheetView>
  </sheetViews>
  <sheetFormatPr defaultRowHeight="14.4"/>
  <cols>
    <col min="2" max="2" width="9.6640625" customWidth="1"/>
    <col min="6" max="6" width="8.77734375" style="5"/>
  </cols>
  <sheetData>
    <row r="1" spans="1:7">
      <c r="A1" t="s">
        <v>1</v>
      </c>
    </row>
    <row r="2" spans="1:7">
      <c r="A2" t="s">
        <v>0</v>
      </c>
    </row>
    <row r="3" spans="1:7">
      <c r="A3" t="s">
        <v>13</v>
      </c>
      <c r="B3" s="1" t="s">
        <v>16</v>
      </c>
    </row>
    <row r="4" spans="1:7">
      <c r="A4" t="s">
        <v>14</v>
      </c>
      <c r="B4">
        <v>1</v>
      </c>
      <c r="C4" s="1" t="s">
        <v>49</v>
      </c>
    </row>
    <row r="5" spans="1:7">
      <c r="A5" t="s">
        <v>5</v>
      </c>
      <c r="B5" t="s">
        <v>6</v>
      </c>
      <c r="C5" t="s">
        <v>7</v>
      </c>
      <c r="D5" t="s">
        <v>8</v>
      </c>
    </row>
    <row r="6" spans="1:7">
      <c r="B6" t="s">
        <v>18</v>
      </c>
      <c r="C6" t="s">
        <v>17</v>
      </c>
    </row>
    <row r="7" spans="1:7">
      <c r="A7" t="s">
        <v>3</v>
      </c>
      <c r="B7">
        <v>340962</v>
      </c>
      <c r="C7">
        <v>341175</v>
      </c>
    </row>
    <row r="8" spans="1:7">
      <c r="A8" t="s">
        <v>4</v>
      </c>
      <c r="B8">
        <v>5735465</v>
      </c>
      <c r="C8">
        <v>5735455</v>
      </c>
    </row>
    <row r="10" spans="1:7">
      <c r="B10">
        <v>23.9</v>
      </c>
      <c r="F10" s="5" t="s">
        <v>32</v>
      </c>
      <c r="G10" s="4">
        <f>COUNTIF(B$10:B$111,"&gt;=0")-COUNTIF(B$10:B$111,"&gt;4.999")</f>
        <v>9</v>
      </c>
    </row>
    <row r="11" spans="1:7">
      <c r="B11">
        <v>32.799999999999997</v>
      </c>
      <c r="F11" s="5" t="s">
        <v>33</v>
      </c>
      <c r="G11" s="4">
        <f>COUNTIF(B$10:B$111,"&gt;=5.0")-COUNTIF(B$10:B$111,"&gt;9.999")</f>
        <v>29</v>
      </c>
    </row>
    <row r="12" spans="1:7">
      <c r="B12">
        <v>25.3</v>
      </c>
      <c r="F12" s="5" t="s">
        <v>34</v>
      </c>
      <c r="G12" s="4">
        <f>COUNTIF(B$10:B$111,"&gt;=10")-COUNTIF(B$10:B$111,"&gt;14.999")</f>
        <v>27</v>
      </c>
    </row>
    <row r="13" spans="1:7">
      <c r="B13">
        <v>24.1</v>
      </c>
      <c r="F13" s="5" t="s">
        <v>35</v>
      </c>
      <c r="G13" s="4">
        <f>COUNTIF(B$10:B$111,"&gt;=15")-COUNTIF(B$10:B$111,"&gt;19.999")</f>
        <v>13</v>
      </c>
    </row>
    <row r="14" spans="1:7">
      <c r="B14">
        <v>11.3</v>
      </c>
      <c r="F14" s="5" t="s">
        <v>36</v>
      </c>
      <c r="G14" s="4">
        <f>COUNTIF(B$10:B$111,"&gt;=20")-COUNTIF(B$10:B$111,"&gt;24.999")</f>
        <v>7</v>
      </c>
    </row>
    <row r="15" spans="1:7">
      <c r="B15">
        <v>6.77</v>
      </c>
      <c r="F15" s="5" t="s">
        <v>37</v>
      </c>
      <c r="G15" s="4">
        <f>COUNTIF(B$10:B$111,"&gt;=25.0")-COUNTIF(B$10:B$111,"&gt;29.999")</f>
        <v>3</v>
      </c>
    </row>
    <row r="16" spans="1:7">
      <c r="B16">
        <v>11.2</v>
      </c>
      <c r="F16" s="5" t="s">
        <v>38</v>
      </c>
      <c r="G16" s="4">
        <f>COUNTIF(B$10:B$111,"&gt;=30")-COUNTIF(B$10:B$111,"&gt;34.999")</f>
        <v>4</v>
      </c>
    </row>
    <row r="17" spans="2:7">
      <c r="B17">
        <v>60.7</v>
      </c>
      <c r="F17" s="5" t="s">
        <v>39</v>
      </c>
      <c r="G17" s="4">
        <f>COUNTIF(B$10:B$111,"&gt;=35.0")-COUNTIF(B$10:B$111,"&gt;39.999")</f>
        <v>3</v>
      </c>
    </row>
    <row r="18" spans="2:7">
      <c r="B18">
        <v>58.4</v>
      </c>
      <c r="F18" s="5" t="s">
        <v>40</v>
      </c>
      <c r="G18" s="4">
        <f>COUNTIF(B$10:B$111,"&gt;=40")-COUNTIF(B$10:B$111,"&gt;44.999")</f>
        <v>2</v>
      </c>
    </row>
    <row r="19" spans="2:7">
      <c r="B19">
        <v>8.9600000000000009</v>
      </c>
      <c r="F19" s="5" t="s">
        <v>41</v>
      </c>
      <c r="G19" s="4">
        <f>COUNTIF(B$10:B$111,"&gt;=45.0")-COUNTIF(B$10:B$111,"&gt;49.999")</f>
        <v>0</v>
      </c>
    </row>
    <row r="20" spans="2:7">
      <c r="B20">
        <v>17.3</v>
      </c>
      <c r="F20" s="5" t="s">
        <v>42</v>
      </c>
      <c r="G20" s="4">
        <f>COUNTIF(B$10:B$111,"&gt;=50")-COUNTIF(B$10:B$111,"&gt;54.999")</f>
        <v>0</v>
      </c>
    </row>
    <row r="21" spans="2:7">
      <c r="B21">
        <v>5.9</v>
      </c>
      <c r="F21" s="5" t="s">
        <v>43</v>
      </c>
      <c r="G21" s="4">
        <f>COUNTIF(B$10:B$111,"&gt;=55.0")-COUNTIF(B$10:B$111,"&gt;59.999")</f>
        <v>2</v>
      </c>
    </row>
    <row r="22" spans="2:7">
      <c r="B22">
        <v>9.3800000000000008</v>
      </c>
      <c r="F22" s="5" t="s">
        <v>44</v>
      </c>
      <c r="G22" s="4">
        <f>COUNTIF(B$10:B$111,"&gt;=60")-COUNTIF(B$10:B$111,"&gt;64.999")</f>
        <v>2</v>
      </c>
    </row>
    <row r="23" spans="2:7">
      <c r="B23">
        <v>13.1</v>
      </c>
      <c r="F23" s="5" t="s">
        <v>45</v>
      </c>
      <c r="G23" s="4">
        <f>COUNTIF(B$10:B$111,"&gt;=65.0")-COUNTIF(B$10:B$111,"&gt;69.999")</f>
        <v>0</v>
      </c>
    </row>
    <row r="24" spans="2:7">
      <c r="B24">
        <v>91.3</v>
      </c>
      <c r="F24" s="5" t="s">
        <v>46</v>
      </c>
      <c r="G24" s="4">
        <f>COUNTIF(B$10:B$111,"&gt;=70")-COUNTIF(B$10:B$111,"&gt;74.999")</f>
        <v>0</v>
      </c>
    </row>
    <row r="25" spans="2:7">
      <c r="B25">
        <v>62.9</v>
      </c>
      <c r="F25" s="5" t="s">
        <v>47</v>
      </c>
      <c r="G25" s="4">
        <f>COUNTIF(B$10:B$111,"&gt;=75.0")-COUNTIF(B$10:B$111,"&gt;79.999")</f>
        <v>0</v>
      </c>
    </row>
    <row r="26" spans="2:7">
      <c r="B26">
        <v>56.8</v>
      </c>
      <c r="F26" s="5" t="s">
        <v>48</v>
      </c>
      <c r="G26" s="4">
        <f>COUNTIF(B$10:B$111,"&gt;=80")</f>
        <v>1</v>
      </c>
    </row>
    <row r="27" spans="2:7">
      <c r="B27">
        <v>38.799999999999997</v>
      </c>
    </row>
    <row r="28" spans="2:7">
      <c r="B28">
        <v>39.5</v>
      </c>
    </row>
    <row r="29" spans="2:7">
      <c r="B29">
        <v>44.1</v>
      </c>
    </row>
    <row r="30" spans="2:7">
      <c r="B30">
        <v>37.6</v>
      </c>
    </row>
    <row r="31" spans="2:7">
      <c r="B31">
        <v>25.6</v>
      </c>
    </row>
    <row r="32" spans="2:7">
      <c r="B32">
        <v>21.9</v>
      </c>
    </row>
    <row r="33" spans="2:2">
      <c r="B33">
        <v>32.9</v>
      </c>
    </row>
    <row r="34" spans="2:2">
      <c r="B34">
        <v>30.3</v>
      </c>
    </row>
    <row r="35" spans="2:2">
      <c r="B35">
        <v>26.3</v>
      </c>
    </row>
    <row r="36" spans="2:2">
      <c r="B36">
        <v>5.9</v>
      </c>
    </row>
    <row r="37" spans="2:2">
      <c r="B37">
        <v>11</v>
      </c>
    </row>
    <row r="38" spans="2:2">
      <c r="B38">
        <v>9.73</v>
      </c>
    </row>
    <row r="39" spans="2:2">
      <c r="B39">
        <v>2.2000000000000002</v>
      </c>
    </row>
    <row r="40" spans="2:2">
      <c r="B40">
        <v>3.08</v>
      </c>
    </row>
    <row r="41" spans="2:2">
      <c r="B41">
        <v>6.13</v>
      </c>
    </row>
    <row r="42" spans="2:2">
      <c r="B42">
        <v>7.77</v>
      </c>
    </row>
    <row r="43" spans="2:2">
      <c r="B43">
        <v>7.53</v>
      </c>
    </row>
    <row r="44" spans="2:2">
      <c r="B44">
        <v>6.82</v>
      </c>
    </row>
    <row r="45" spans="2:2">
      <c r="B45">
        <v>5.98</v>
      </c>
    </row>
    <row r="46" spans="2:2">
      <c r="B46">
        <v>4.6399999999999997</v>
      </c>
    </row>
    <row r="47" spans="2:2">
      <c r="B47">
        <v>15.1</v>
      </c>
    </row>
    <row r="48" spans="2:2">
      <c r="B48">
        <v>19.5</v>
      </c>
    </row>
    <row r="49" spans="2:2">
      <c r="B49">
        <v>5.98</v>
      </c>
    </row>
    <row r="50" spans="2:2">
      <c r="B50">
        <v>8.4700000000000006</v>
      </c>
    </row>
    <row r="51" spans="2:2">
      <c r="B51">
        <v>23</v>
      </c>
    </row>
    <row r="52" spans="2:2">
      <c r="B52">
        <v>14.9</v>
      </c>
    </row>
    <row r="53" spans="2:2">
      <c r="B53">
        <v>12.8</v>
      </c>
    </row>
    <row r="54" spans="2:2">
      <c r="B54">
        <v>7.73</v>
      </c>
    </row>
    <row r="55" spans="2:2">
      <c r="B55">
        <v>7.49</v>
      </c>
    </row>
    <row r="56" spans="2:2">
      <c r="B56">
        <v>7.48</v>
      </c>
    </row>
    <row r="57" spans="2:2">
      <c r="B57">
        <v>6.25</v>
      </c>
    </row>
    <row r="58" spans="2:2">
      <c r="B58">
        <v>7.25</v>
      </c>
    </row>
    <row r="59" spans="2:2">
      <c r="B59">
        <v>4.5</v>
      </c>
    </row>
    <row r="60" spans="2:2">
      <c r="B60">
        <v>10.5</v>
      </c>
    </row>
    <row r="61" spans="2:2">
      <c r="B61">
        <v>18.3</v>
      </c>
    </row>
    <row r="62" spans="2:2">
      <c r="B62">
        <v>12.2</v>
      </c>
    </row>
    <row r="63" spans="2:2">
      <c r="B63">
        <v>20.100000000000001</v>
      </c>
    </row>
    <row r="64" spans="2:2">
      <c r="B64">
        <v>13.3</v>
      </c>
    </row>
    <row r="65" spans="2:2">
      <c r="B65">
        <v>23.2</v>
      </c>
    </row>
    <row r="66" spans="2:2">
      <c r="B66">
        <v>10.8</v>
      </c>
    </row>
    <row r="67" spans="2:2">
      <c r="B67">
        <v>12.6</v>
      </c>
    </row>
    <row r="68" spans="2:2">
      <c r="B68">
        <v>17.600000000000001</v>
      </c>
    </row>
    <row r="69" spans="2:2">
      <c r="B69">
        <v>10.3</v>
      </c>
    </row>
    <row r="70" spans="2:2">
      <c r="B70">
        <v>11.5</v>
      </c>
    </row>
    <row r="71" spans="2:2">
      <c r="B71">
        <v>18.899999999999999</v>
      </c>
    </row>
    <row r="72" spans="2:2">
      <c r="B72">
        <v>3.92</v>
      </c>
    </row>
    <row r="73" spans="2:2">
      <c r="B73">
        <v>4.38</v>
      </c>
    </row>
    <row r="74" spans="2:2">
      <c r="B74">
        <v>7.51</v>
      </c>
    </row>
    <row r="75" spans="2:2">
      <c r="B75">
        <v>12.8</v>
      </c>
    </row>
    <row r="76" spans="2:2">
      <c r="B76">
        <v>16.100000000000001</v>
      </c>
    </row>
    <row r="77" spans="2:2">
      <c r="B77">
        <v>6.39</v>
      </c>
    </row>
    <row r="78" spans="2:2">
      <c r="B78">
        <v>9.75</v>
      </c>
    </row>
    <row r="79" spans="2:2">
      <c r="B79">
        <v>10.9</v>
      </c>
    </row>
    <row r="80" spans="2:2">
      <c r="B80">
        <v>6.73</v>
      </c>
    </row>
    <row r="81" spans="2:2">
      <c r="B81">
        <v>14.1</v>
      </c>
    </row>
    <row r="82" spans="2:2">
      <c r="B82">
        <v>14.9</v>
      </c>
    </row>
    <row r="83" spans="2:2">
      <c r="B83">
        <v>8.58</v>
      </c>
    </row>
    <row r="84" spans="2:2">
      <c r="B84">
        <v>12.9</v>
      </c>
    </row>
    <row r="85" spans="2:2">
      <c r="B85">
        <v>13.7</v>
      </c>
    </row>
    <row r="86" spans="2:2">
      <c r="B86">
        <v>15.5</v>
      </c>
    </row>
    <row r="87" spans="2:2">
      <c r="B87">
        <v>7.03</v>
      </c>
    </row>
    <row r="88" spans="2:2">
      <c r="B88">
        <v>43.9</v>
      </c>
    </row>
    <row r="89" spans="2:2">
      <c r="B89">
        <v>22.6</v>
      </c>
    </row>
    <row r="90" spans="2:2">
      <c r="B90">
        <v>33.5</v>
      </c>
    </row>
    <row r="91" spans="2:2">
      <c r="B91">
        <v>1.55</v>
      </c>
    </row>
    <row r="92" spans="2:2">
      <c r="B92">
        <v>8.6999999999999993</v>
      </c>
    </row>
    <row r="93" spans="2:2">
      <c r="B93">
        <v>15.1</v>
      </c>
    </row>
    <row r="94" spans="2:2">
      <c r="B94">
        <v>8.27</v>
      </c>
    </row>
    <row r="95" spans="2:2">
      <c r="B95">
        <v>9.35</v>
      </c>
    </row>
    <row r="96" spans="2:2">
      <c r="B96">
        <v>4.3099999999999996</v>
      </c>
    </row>
    <row r="97" spans="2:2">
      <c r="B97">
        <v>18.5</v>
      </c>
    </row>
    <row r="98" spans="2:2">
      <c r="B98">
        <v>4.63</v>
      </c>
    </row>
    <row r="99" spans="2:2">
      <c r="B99">
        <v>7.05</v>
      </c>
    </row>
    <row r="100" spans="2:2">
      <c r="B100">
        <v>14</v>
      </c>
    </row>
    <row r="101" spans="2:2">
      <c r="B101">
        <v>10.9</v>
      </c>
    </row>
    <row r="102" spans="2:2">
      <c r="B102">
        <v>10.3</v>
      </c>
    </row>
    <row r="103" spans="2:2">
      <c r="B103">
        <v>17.7</v>
      </c>
    </row>
    <row r="104" spans="2:2">
      <c r="B104">
        <v>13.2</v>
      </c>
    </row>
    <row r="105" spans="2:2">
      <c r="B105">
        <v>14.4</v>
      </c>
    </row>
    <row r="106" spans="2:2">
      <c r="B106">
        <v>8.9600000000000009</v>
      </c>
    </row>
    <row r="107" spans="2:2">
      <c r="B107">
        <v>14.6</v>
      </c>
    </row>
    <row r="108" spans="2:2">
      <c r="B108">
        <v>15.5</v>
      </c>
    </row>
    <row r="109" spans="2:2">
      <c r="B109">
        <v>13.3</v>
      </c>
    </row>
    <row r="110" spans="2:2">
      <c r="B110">
        <v>16.100000000000001</v>
      </c>
    </row>
    <row r="111" spans="2:2">
      <c r="B111">
        <v>12</v>
      </c>
    </row>
    <row r="113" spans="1:2">
      <c r="A113" t="s">
        <v>9</v>
      </c>
      <c r="B113" s="2">
        <f>SUM(B10:B111)/102</f>
        <v>16.776960784313726</v>
      </c>
    </row>
    <row r="114" spans="1:2">
      <c r="A114" t="s">
        <v>10</v>
      </c>
      <c r="B114" s="2">
        <f>MEDIAN(B10:B111)</f>
        <v>12.7</v>
      </c>
    </row>
    <row r="115" spans="1:2">
      <c r="A115" t="s">
        <v>11</v>
      </c>
      <c r="B115">
        <f>SMALL(B$10:B$111,1)</f>
        <v>1.55</v>
      </c>
    </row>
    <row r="116" spans="1:2">
      <c r="A116" t="s">
        <v>12</v>
      </c>
      <c r="B116" s="2">
        <f>SMALL(B$10:B$111,102)</f>
        <v>91.3</v>
      </c>
    </row>
  </sheetData>
  <pageMargins left="0.7" right="0.7" top="0.75" bottom="0.75" header="0.3" footer="0.3"/>
  <ignoredErrors>
    <ignoredError sqref="F12" twoDigitTextYear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9"/>
  <sheetViews>
    <sheetView workbookViewId="0">
      <selection activeCell="E2" sqref="E2:E3"/>
    </sheetView>
  </sheetViews>
  <sheetFormatPr defaultRowHeight="14.4"/>
  <cols>
    <col min="6" max="6" width="9.5546875" bestFit="1" customWidth="1"/>
  </cols>
  <sheetData>
    <row r="1" spans="1:9">
      <c r="A1" t="s">
        <v>56</v>
      </c>
      <c r="C1" t="s">
        <v>57</v>
      </c>
    </row>
    <row r="2" spans="1:9">
      <c r="A2" t="s">
        <v>55</v>
      </c>
      <c r="B2" t="s">
        <v>53</v>
      </c>
      <c r="C2" t="s">
        <v>54</v>
      </c>
      <c r="E2" t="s">
        <v>65</v>
      </c>
    </row>
    <row r="3" spans="1:9">
      <c r="E3" t="s">
        <v>66</v>
      </c>
    </row>
    <row r="4" spans="1:9" ht="16.2">
      <c r="A4" t="s">
        <v>64</v>
      </c>
    </row>
    <row r="5" spans="1:9">
      <c r="B5">
        <v>0.75</v>
      </c>
      <c r="C5" t="s">
        <v>52</v>
      </c>
      <c r="E5" t="s">
        <v>58</v>
      </c>
      <c r="F5" s="8">
        <f>SUM(B5:B39)/35</f>
        <v>1.1665714285714288</v>
      </c>
      <c r="I5">
        <v>0.42</v>
      </c>
    </row>
    <row r="6" spans="1:9">
      <c r="B6">
        <v>0.44</v>
      </c>
      <c r="C6" t="s">
        <v>52</v>
      </c>
      <c r="E6" t="s">
        <v>10</v>
      </c>
      <c r="F6">
        <v>0.6</v>
      </c>
      <c r="I6">
        <v>0.43</v>
      </c>
    </row>
    <row r="7" spans="1:9">
      <c r="B7">
        <v>0.64</v>
      </c>
      <c r="C7" t="s">
        <v>52</v>
      </c>
      <c r="I7">
        <v>0.44</v>
      </c>
    </row>
    <row r="8" spans="1:9">
      <c r="B8">
        <v>0.53</v>
      </c>
      <c r="C8" t="s">
        <v>52</v>
      </c>
      <c r="I8">
        <v>0.46</v>
      </c>
    </row>
    <row r="9" spans="1:9">
      <c r="B9">
        <v>0.57999999999999996</v>
      </c>
      <c r="C9" t="s">
        <v>52</v>
      </c>
      <c r="I9">
        <v>0.51</v>
      </c>
    </row>
    <row r="10" spans="1:9">
      <c r="B10">
        <v>0.54</v>
      </c>
      <c r="C10" t="s">
        <v>52</v>
      </c>
      <c r="I10">
        <v>0.52</v>
      </c>
    </row>
    <row r="11" spans="1:9">
      <c r="B11">
        <v>0.46</v>
      </c>
      <c r="I11">
        <v>0.52</v>
      </c>
    </row>
    <row r="12" spans="1:9">
      <c r="B12">
        <v>0.96</v>
      </c>
      <c r="I12">
        <v>0.52</v>
      </c>
    </row>
    <row r="13" spans="1:9">
      <c r="B13">
        <v>7.77</v>
      </c>
      <c r="I13">
        <v>0.52</v>
      </c>
    </row>
    <row r="14" spans="1:9">
      <c r="B14">
        <v>0.8</v>
      </c>
      <c r="I14">
        <v>0.53</v>
      </c>
    </row>
    <row r="15" spans="1:9">
      <c r="B15">
        <v>0.65</v>
      </c>
      <c r="I15">
        <v>0.54</v>
      </c>
    </row>
    <row r="16" spans="1:9">
      <c r="B16">
        <v>0.43</v>
      </c>
      <c r="I16">
        <v>0.54</v>
      </c>
    </row>
    <row r="17" spans="2:9">
      <c r="B17">
        <v>0.62</v>
      </c>
      <c r="I17">
        <v>0.55000000000000004</v>
      </c>
    </row>
    <row r="18" spans="2:9">
      <c r="B18">
        <v>0.52</v>
      </c>
      <c r="I18">
        <v>0.56000000000000005</v>
      </c>
    </row>
    <row r="19" spans="2:9">
      <c r="B19">
        <v>0.6</v>
      </c>
      <c r="I19">
        <v>0.56999999999999995</v>
      </c>
    </row>
    <row r="20" spans="2:9">
      <c r="B20">
        <v>0.6</v>
      </c>
      <c r="I20">
        <v>0.57999999999999996</v>
      </c>
    </row>
    <row r="21" spans="2:9">
      <c r="B21">
        <v>0.74</v>
      </c>
      <c r="I21">
        <v>0.59</v>
      </c>
    </row>
    <row r="22" spans="2:9">
      <c r="B22">
        <v>0.51</v>
      </c>
      <c r="I22">
        <v>0.6</v>
      </c>
    </row>
    <row r="23" spans="2:9">
      <c r="B23">
        <v>0.55000000000000004</v>
      </c>
      <c r="I23">
        <v>0.6</v>
      </c>
    </row>
    <row r="24" spans="2:9">
      <c r="B24">
        <v>0.56999999999999995</v>
      </c>
      <c r="I24">
        <v>0.6</v>
      </c>
    </row>
    <row r="25" spans="2:9">
      <c r="B25">
        <v>0.56000000000000005</v>
      </c>
      <c r="I25">
        <v>0.62</v>
      </c>
    </row>
    <row r="26" spans="2:9">
      <c r="B26">
        <v>0.52</v>
      </c>
      <c r="I26">
        <v>0.62</v>
      </c>
    </row>
    <row r="27" spans="2:9">
      <c r="B27">
        <v>0.65</v>
      </c>
      <c r="C27" t="s">
        <v>52</v>
      </c>
      <c r="I27">
        <v>0.64</v>
      </c>
    </row>
    <row r="28" spans="2:9">
      <c r="B28">
        <v>0.54</v>
      </c>
      <c r="C28" t="s">
        <v>52</v>
      </c>
      <c r="I28">
        <v>0.65</v>
      </c>
    </row>
    <row r="29" spans="2:9">
      <c r="B29">
        <v>0.42</v>
      </c>
      <c r="C29" t="s">
        <v>52</v>
      </c>
      <c r="I29">
        <v>0.65</v>
      </c>
    </row>
    <row r="30" spans="2:9">
      <c r="B30">
        <v>0.79</v>
      </c>
      <c r="C30" t="s">
        <v>52</v>
      </c>
      <c r="I30">
        <v>0.65</v>
      </c>
    </row>
    <row r="31" spans="2:9">
      <c r="B31">
        <v>0.68</v>
      </c>
      <c r="C31" t="s">
        <v>52</v>
      </c>
      <c r="I31">
        <v>0.68</v>
      </c>
    </row>
    <row r="32" spans="2:9">
      <c r="B32">
        <v>0.71</v>
      </c>
      <c r="C32" t="s">
        <v>52</v>
      </c>
      <c r="I32">
        <v>0.71</v>
      </c>
    </row>
    <row r="33" spans="2:9">
      <c r="B33">
        <v>0.52</v>
      </c>
      <c r="C33" t="s">
        <v>52</v>
      </c>
      <c r="I33">
        <v>0.74</v>
      </c>
    </row>
    <row r="34" spans="2:9">
      <c r="B34">
        <v>0.6</v>
      </c>
      <c r="C34" t="s">
        <v>52</v>
      </c>
      <c r="I34">
        <v>0.75</v>
      </c>
    </row>
    <row r="35" spans="2:9">
      <c r="B35">
        <v>13.2</v>
      </c>
      <c r="I35">
        <v>0.79</v>
      </c>
    </row>
    <row r="36" spans="2:9">
      <c r="B36">
        <v>0.52</v>
      </c>
      <c r="I36">
        <v>0.8</v>
      </c>
    </row>
    <row r="37" spans="2:9">
      <c r="B37">
        <v>0.62</v>
      </c>
      <c r="I37">
        <v>0.96</v>
      </c>
    </row>
    <row r="38" spans="2:9">
      <c r="B38">
        <v>0.65</v>
      </c>
      <c r="I38">
        <v>7.77</v>
      </c>
    </row>
    <row r="39" spans="2:9">
      <c r="B39">
        <v>0.59</v>
      </c>
      <c r="I39">
        <v>13.2</v>
      </c>
    </row>
  </sheetData>
  <sortState ref="I5:I39">
    <sortCondition ref="I5:I3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F9" sqref="F9"/>
    </sheetView>
  </sheetViews>
  <sheetFormatPr defaultRowHeight="14.4"/>
  <cols>
    <col min="6" max="6" width="13.44140625" bestFit="1" customWidth="1"/>
  </cols>
  <sheetData>
    <row r="1" spans="1:9">
      <c r="A1" t="s">
        <v>62</v>
      </c>
      <c r="E1" t="s">
        <v>59</v>
      </c>
    </row>
    <row r="3" spans="1:9">
      <c r="A3" t="s">
        <v>55</v>
      </c>
      <c r="B3" t="s">
        <v>60</v>
      </c>
      <c r="D3" t="s">
        <v>65</v>
      </c>
    </row>
    <row r="4" spans="1:9">
      <c r="B4" t="s">
        <v>61</v>
      </c>
      <c r="D4" t="s">
        <v>66</v>
      </c>
    </row>
    <row r="5" spans="1:9" ht="16.2">
      <c r="A5" t="s">
        <v>63</v>
      </c>
    </row>
    <row r="7" spans="1:9">
      <c r="B7">
        <v>0.09</v>
      </c>
      <c r="E7" t="s">
        <v>58</v>
      </c>
      <c r="F7" s="9">
        <f>SUM(B7:B21)/15</f>
        <v>7.0666666666666669E-2</v>
      </c>
      <c r="I7">
        <v>0.04</v>
      </c>
    </row>
    <row r="8" spans="1:9">
      <c r="B8">
        <v>7.0000000000000007E-2</v>
      </c>
      <c r="E8" t="s">
        <v>10</v>
      </c>
      <c r="F8">
        <v>7.0000000000000007E-2</v>
      </c>
      <c r="I8">
        <v>0.05</v>
      </c>
    </row>
    <row r="9" spans="1:9">
      <c r="B9">
        <v>7.0000000000000007E-2</v>
      </c>
      <c r="I9">
        <v>0.05</v>
      </c>
    </row>
    <row r="10" spans="1:9">
      <c r="B10">
        <v>7.0000000000000007E-2</v>
      </c>
      <c r="I10">
        <v>0.06</v>
      </c>
    </row>
    <row r="11" spans="1:9">
      <c r="B11">
        <v>0.05</v>
      </c>
      <c r="I11">
        <v>7.0000000000000007E-2</v>
      </c>
    </row>
    <row r="12" spans="1:9">
      <c r="B12">
        <v>7.0000000000000007E-2</v>
      </c>
      <c r="I12">
        <v>7.0000000000000007E-2</v>
      </c>
    </row>
    <row r="13" spans="1:9">
      <c r="B13">
        <v>0.08</v>
      </c>
      <c r="I13">
        <v>7.0000000000000007E-2</v>
      </c>
    </row>
    <row r="14" spans="1:9">
      <c r="B14">
        <v>0.05</v>
      </c>
      <c r="I14">
        <v>7.0000000000000007E-2</v>
      </c>
    </row>
    <row r="15" spans="1:9">
      <c r="B15">
        <v>0.08</v>
      </c>
      <c r="I15">
        <v>7.0000000000000007E-2</v>
      </c>
    </row>
    <row r="16" spans="1:9">
      <c r="B16">
        <v>0.04</v>
      </c>
      <c r="I16">
        <v>7.0000000000000007E-2</v>
      </c>
    </row>
    <row r="17" spans="2:9">
      <c r="B17">
        <v>7.0000000000000007E-2</v>
      </c>
      <c r="I17">
        <v>0.08</v>
      </c>
    </row>
    <row r="18" spans="2:9">
      <c r="B18">
        <v>0.06</v>
      </c>
      <c r="I18">
        <v>0.08</v>
      </c>
    </row>
    <row r="19" spans="2:9">
      <c r="B19">
        <v>7.0000000000000007E-2</v>
      </c>
      <c r="I19">
        <v>0.09</v>
      </c>
    </row>
    <row r="20" spans="2:9">
      <c r="B20">
        <v>0.1</v>
      </c>
      <c r="I20">
        <v>0.09</v>
      </c>
    </row>
    <row r="21" spans="2:9">
      <c r="B21">
        <v>0.09</v>
      </c>
      <c r="I21">
        <v>0.1</v>
      </c>
    </row>
  </sheetData>
  <sortState ref="I7:I21">
    <sortCondition ref="I7:I2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Metagabbro</vt:lpstr>
      <vt:lpstr>Metabasalt</vt:lpstr>
      <vt:lpstr>Cord Ck Gabbro</vt:lpstr>
      <vt:lpstr>Digger Is Lst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dhmoore</dc:creator>
  <cp:lastModifiedBy>dhmoore</cp:lastModifiedBy>
  <dcterms:created xsi:type="dcterms:W3CDTF">2010-05-10T04:27:21Z</dcterms:created>
  <dcterms:modified xsi:type="dcterms:W3CDTF">2016-02-04T05:12:01Z</dcterms:modified>
</cp:coreProperties>
</file>