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CURRENT_PROJECTS\Thesis\Digital Files\Appendix 9 Measured Susceptibilities\"/>
    </mc:Choice>
  </mc:AlternateContent>
  <bookViews>
    <workbookView xWindow="240" yWindow="38" windowWidth="18143" windowHeight="8798"/>
  </bookViews>
  <sheets>
    <sheet name="Summary" sheetId="1" r:id="rId1"/>
    <sheet name="Sprise Bay Metaseds" sheetId="2" r:id="rId2"/>
    <sheet name="Pegmatite" sheetId="3" r:id="rId3"/>
    <sheet name="Basalt" sheetId="4" r:id="rId4"/>
    <sheet name="Amphibolite" sheetId="7" r:id="rId5"/>
    <sheet name="Yarra Ck Sh" sheetId="5" r:id="rId6"/>
    <sheet name="Hyaloclastite" sheetId="6" r:id="rId7"/>
    <sheet name="Granite" sheetId="8" r:id="rId8"/>
  </sheets>
  <calcPr calcId="152511"/>
</workbook>
</file>

<file path=xl/calcChain.xml><?xml version="1.0" encoding="utf-8"?>
<calcChain xmlns="http://schemas.openxmlformats.org/spreadsheetml/2006/main">
  <c r="B43" i="7" l="1"/>
  <c r="V93" i="2"/>
  <c r="V94" i="2"/>
  <c r="U94" i="2" l="1"/>
  <c r="U93" i="2"/>
  <c r="H31" i="1"/>
  <c r="H30" i="1"/>
  <c r="H44" i="1"/>
  <c r="K43" i="1"/>
  <c r="K42" i="1"/>
  <c r="E43" i="1"/>
  <c r="D43" i="1"/>
  <c r="E42" i="1"/>
  <c r="D42" i="1"/>
  <c r="H18" i="1" l="1"/>
  <c r="E16" i="1"/>
  <c r="D16" i="1"/>
  <c r="K16" i="1"/>
  <c r="G16" i="1"/>
  <c r="E15" i="1"/>
  <c r="D15" i="1"/>
  <c r="E14" i="1"/>
  <c r="K15" i="1"/>
  <c r="G15" i="1"/>
  <c r="D8" i="1"/>
  <c r="E7" i="1"/>
  <c r="E8" i="1"/>
  <c r="D7" i="1"/>
  <c r="H11" i="1"/>
  <c r="J8" i="1"/>
  <c r="I8" i="1"/>
  <c r="K8" i="1"/>
  <c r="K7" i="1"/>
  <c r="I7" i="1"/>
  <c r="H4" i="1"/>
  <c r="K3" i="1"/>
  <c r="G3" i="1"/>
  <c r="K57" i="2"/>
  <c r="H3" i="1" s="1"/>
  <c r="K56" i="2"/>
  <c r="K58" i="2"/>
  <c r="I3" i="1" s="1"/>
  <c r="K59" i="2"/>
  <c r="J3" i="1" s="1"/>
  <c r="E3" i="1"/>
  <c r="D3" i="1"/>
  <c r="N57" i="2"/>
  <c r="H8" i="1" s="1"/>
  <c r="N56" i="2"/>
  <c r="G8" i="1" s="1"/>
  <c r="N59" i="2"/>
  <c r="N58" i="2"/>
  <c r="M57" i="2"/>
  <c r="H7" i="1" s="1"/>
  <c r="M56" i="2"/>
  <c r="G7" i="1" s="1"/>
  <c r="M59" i="2"/>
  <c r="J7" i="1" s="1"/>
  <c r="M58" i="2"/>
  <c r="G45" i="4"/>
  <c r="J15" i="1" s="1"/>
  <c r="G44" i="4"/>
  <c r="I15" i="1" s="1"/>
  <c r="G43" i="4"/>
  <c r="G42" i="4"/>
  <c r="I49" i="4"/>
  <c r="J16" i="1" s="1"/>
  <c r="B45" i="4"/>
  <c r="I47" i="4"/>
  <c r="H16" i="1" s="1"/>
  <c r="I48" i="4"/>
  <c r="I16" i="1" s="1"/>
  <c r="I46" i="4"/>
  <c r="I30" i="8"/>
  <c r="J42" i="1" s="1"/>
  <c r="I27" i="8"/>
  <c r="G42" i="1" s="1"/>
  <c r="J28" i="8"/>
  <c r="H43" i="1" s="1"/>
  <c r="J27" i="8"/>
  <c r="G43" i="1" s="1"/>
  <c r="J30" i="8"/>
  <c r="J43" i="1" s="1"/>
  <c r="J29" i="8"/>
  <c r="I43" i="1" s="1"/>
  <c r="I29" i="8"/>
  <c r="I42" i="1" s="1"/>
  <c r="I28" i="8"/>
  <c r="H42" i="1" s="1"/>
  <c r="K17" i="1"/>
  <c r="J17" i="1"/>
  <c r="I17" i="1"/>
  <c r="F43" i="4"/>
  <c r="H17" i="1" s="1"/>
  <c r="F42" i="4"/>
  <c r="G17" i="1" s="1"/>
  <c r="K41" i="1"/>
  <c r="E41" i="1"/>
  <c r="D41" i="1"/>
  <c r="K40" i="1"/>
  <c r="E40" i="1"/>
  <c r="D40" i="1"/>
  <c r="K39" i="1"/>
  <c r="E39" i="1"/>
  <c r="D39" i="1"/>
  <c r="K38" i="1"/>
  <c r="E38" i="1"/>
  <c r="D38" i="1"/>
  <c r="K37" i="1"/>
  <c r="E37" i="1"/>
  <c r="D37" i="1"/>
  <c r="H36" i="1"/>
  <c r="K35" i="1"/>
  <c r="E35" i="1"/>
  <c r="D35" i="1"/>
  <c r="K34" i="1"/>
  <c r="E34" i="1"/>
  <c r="D34" i="1"/>
  <c r="K33" i="1"/>
  <c r="E33" i="1"/>
  <c r="D33" i="1"/>
  <c r="K32" i="1"/>
  <c r="E32" i="1"/>
  <c r="D32" i="1"/>
  <c r="K29" i="1"/>
  <c r="E29" i="1"/>
  <c r="D29" i="1"/>
  <c r="K28" i="1"/>
  <c r="E28" i="1"/>
  <c r="D28" i="1"/>
  <c r="H21" i="1"/>
  <c r="K20" i="1"/>
  <c r="B44" i="4"/>
  <c r="K26" i="1"/>
  <c r="E26" i="1"/>
  <c r="D26" i="1"/>
  <c r="K25" i="1"/>
  <c r="E25" i="1"/>
  <c r="D25" i="1"/>
  <c r="K24" i="1"/>
  <c r="E24" i="1"/>
  <c r="D24" i="1"/>
  <c r="D23" i="1"/>
  <c r="K23" i="1"/>
  <c r="E23" i="1"/>
  <c r="K22" i="1"/>
  <c r="E22" i="1"/>
  <c r="D22" i="1"/>
  <c r="E20" i="1"/>
  <c r="D20" i="1"/>
  <c r="I14" i="1"/>
  <c r="K19" i="1"/>
  <c r="E19" i="1"/>
  <c r="D19" i="1"/>
  <c r="K14" i="1"/>
  <c r="D14" i="1"/>
  <c r="K6" i="1"/>
  <c r="E6" i="1"/>
  <c r="D6" i="1"/>
  <c r="K10" i="1"/>
  <c r="E10" i="1"/>
  <c r="D10" i="1"/>
  <c r="K9" i="1"/>
  <c r="E9" i="1"/>
  <c r="D9" i="1"/>
  <c r="E5" i="1"/>
  <c r="D5" i="1"/>
  <c r="K2" i="1"/>
  <c r="E2" i="1"/>
  <c r="D2" i="1"/>
  <c r="H15" i="1" l="1"/>
  <c r="K18" i="1"/>
  <c r="K4" i="1"/>
  <c r="K44" i="1"/>
  <c r="K11" i="1"/>
  <c r="K36" i="1"/>
  <c r="K21" i="1"/>
  <c r="K30" i="1"/>
  <c r="K31" i="1" s="1"/>
  <c r="H30" i="8"/>
  <c r="H29" i="8"/>
  <c r="H28" i="8"/>
  <c r="H27" i="8"/>
  <c r="M21" i="8"/>
  <c r="M20" i="8"/>
  <c r="M19" i="8"/>
  <c r="M18" i="8"/>
  <c r="M17" i="8"/>
  <c r="M16" i="8"/>
  <c r="M15" i="8"/>
  <c r="M14" i="8"/>
  <c r="M13" i="8"/>
  <c r="M12" i="8"/>
  <c r="M11" i="8"/>
  <c r="M24" i="8" s="1"/>
  <c r="G30" i="8"/>
  <c r="J41" i="1" s="1"/>
  <c r="G29" i="8"/>
  <c r="I41" i="1" s="1"/>
  <c r="G28" i="8"/>
  <c r="H41" i="1" s="1"/>
  <c r="G27" i="8"/>
  <c r="G41" i="1" s="1"/>
  <c r="P22" i="7"/>
  <c r="P21" i="7"/>
  <c r="P20" i="7"/>
  <c r="P19" i="7"/>
  <c r="P18" i="7"/>
  <c r="P17" i="7"/>
  <c r="P16" i="7"/>
  <c r="P15" i="7"/>
  <c r="P14" i="7"/>
  <c r="P13" i="7"/>
  <c r="P12" i="7"/>
  <c r="Y11" i="4"/>
  <c r="Y12" i="4" s="1"/>
  <c r="Y13" i="4" s="1"/>
  <c r="Y14" i="4" s="1"/>
  <c r="Y15" i="4" s="1"/>
  <c r="Y16" i="4" s="1"/>
  <c r="Y17" i="4" s="1"/>
  <c r="Y18" i="4" s="1"/>
  <c r="Y19" i="4" s="1"/>
  <c r="Y20" i="4" s="1"/>
  <c r="Y21" i="4" s="1"/>
  <c r="Y22" i="4" s="1"/>
  <c r="Y23" i="4" s="1"/>
  <c r="Y24" i="4" s="1"/>
  <c r="Y25" i="4" s="1"/>
  <c r="Y26" i="4" s="1"/>
  <c r="Y27" i="4" s="1"/>
  <c r="Y28" i="4" s="1"/>
  <c r="Y29" i="4" s="1"/>
  <c r="Y30" i="4" s="1"/>
  <c r="Y31" i="4" s="1"/>
  <c r="Y32" i="4" s="1"/>
  <c r="Y33" i="4" s="1"/>
  <c r="Y34" i="4" s="1"/>
  <c r="Y35" i="4" s="1"/>
  <c r="Y36" i="4" s="1"/>
  <c r="Y37" i="4" s="1"/>
  <c r="Y38" i="4" s="1"/>
  <c r="Y39" i="4" s="1"/>
  <c r="Y40" i="4" s="1"/>
  <c r="Y41" i="4" s="1"/>
  <c r="Y42" i="4" s="1"/>
  <c r="Y43" i="4" s="1"/>
  <c r="Y44" i="4" s="1"/>
  <c r="Y45" i="4" s="1"/>
  <c r="Y46" i="4" s="1"/>
  <c r="Y47" i="4" s="1"/>
  <c r="Y48" i="4" s="1"/>
  <c r="Y49" i="4" s="1"/>
  <c r="Y50" i="4" s="1"/>
  <c r="Y51" i="4" s="1"/>
  <c r="Y52" i="4" s="1"/>
  <c r="Y10" i="4"/>
  <c r="W10" i="4"/>
  <c r="X10" i="4" s="1"/>
  <c r="W11" i="4"/>
  <c r="X11" i="4" s="1"/>
  <c r="W12" i="4"/>
  <c r="X12" i="4" s="1"/>
  <c r="W13" i="4"/>
  <c r="X13" i="4" s="1"/>
  <c r="W14" i="4"/>
  <c r="X14" i="4" s="1"/>
  <c r="W15" i="4"/>
  <c r="X15" i="4" s="1"/>
  <c r="W16" i="4"/>
  <c r="X16" i="4" s="1"/>
  <c r="W17" i="4"/>
  <c r="X17" i="4" s="1"/>
  <c r="W18" i="4"/>
  <c r="X18" i="4" s="1"/>
  <c r="W19" i="4"/>
  <c r="X19" i="4" s="1"/>
  <c r="W20" i="4"/>
  <c r="X20" i="4" s="1"/>
  <c r="W21" i="4"/>
  <c r="X21" i="4" s="1"/>
  <c r="W22" i="4"/>
  <c r="X22" i="4" s="1"/>
  <c r="W23" i="4"/>
  <c r="X23" i="4" s="1"/>
  <c r="W24" i="4"/>
  <c r="X24" i="4" s="1"/>
  <c r="W25" i="4"/>
  <c r="X25" i="4" s="1"/>
  <c r="W26" i="4"/>
  <c r="X26" i="4" s="1"/>
  <c r="W27" i="4"/>
  <c r="X27" i="4" s="1"/>
  <c r="W28" i="4"/>
  <c r="X28" i="4" s="1"/>
  <c r="W29" i="4"/>
  <c r="X29" i="4" s="1"/>
  <c r="W30" i="4"/>
  <c r="X30" i="4" s="1"/>
  <c r="W31" i="4"/>
  <c r="X31" i="4" s="1"/>
  <c r="W32" i="4"/>
  <c r="X32" i="4" s="1"/>
  <c r="W33" i="4"/>
  <c r="X33" i="4" s="1"/>
  <c r="W34" i="4"/>
  <c r="X34" i="4" s="1"/>
  <c r="W35" i="4"/>
  <c r="X35" i="4" s="1"/>
  <c r="W36" i="4"/>
  <c r="X36" i="4" s="1"/>
  <c r="W37" i="4"/>
  <c r="X37" i="4" s="1"/>
  <c r="W38" i="4"/>
  <c r="X38" i="4" s="1"/>
  <c r="W39" i="4"/>
  <c r="X39" i="4" s="1"/>
  <c r="W40" i="4"/>
  <c r="X40" i="4" s="1"/>
  <c r="W41" i="4"/>
  <c r="X41" i="4" s="1"/>
  <c r="W42" i="4"/>
  <c r="X42" i="4" s="1"/>
  <c r="W43" i="4"/>
  <c r="X43" i="4" s="1"/>
  <c r="W44" i="4"/>
  <c r="X44" i="4" s="1"/>
  <c r="W45" i="4"/>
  <c r="X45" i="4" s="1"/>
  <c r="W46" i="4"/>
  <c r="X46" i="4" s="1"/>
  <c r="W47" i="4"/>
  <c r="X47" i="4" s="1"/>
  <c r="W48" i="4"/>
  <c r="X48" i="4" s="1"/>
  <c r="W49" i="4"/>
  <c r="X49" i="4" s="1"/>
  <c r="W50" i="4"/>
  <c r="X50" i="4" s="1"/>
  <c r="W51" i="4"/>
  <c r="X51" i="4" s="1"/>
  <c r="W52" i="4"/>
  <c r="X52" i="4" s="1"/>
  <c r="W9" i="4"/>
  <c r="X9" i="4" s="1"/>
  <c r="Z9" i="4" s="1"/>
  <c r="Z10" i="4" s="1"/>
  <c r="Z11" i="4" s="1"/>
  <c r="Z12" i="4" s="1"/>
  <c r="Z13" i="4" s="1"/>
  <c r="Z14" i="4" s="1"/>
  <c r="Z15" i="4" s="1"/>
  <c r="Z16" i="4" s="1"/>
  <c r="Z17" i="4" s="1"/>
  <c r="Z18" i="4" s="1"/>
  <c r="Z19" i="4" s="1"/>
  <c r="Z20" i="4" s="1"/>
  <c r="Z21" i="4" s="1"/>
  <c r="Z22" i="4" s="1"/>
  <c r="Z23" i="4" s="1"/>
  <c r="Z24" i="4" s="1"/>
  <c r="Z25" i="4" s="1"/>
  <c r="Z26" i="4" s="1"/>
  <c r="Z27" i="4" s="1"/>
  <c r="Z28" i="4" s="1"/>
  <c r="Z29" i="4" s="1"/>
  <c r="Z30" i="4" s="1"/>
  <c r="Z31" i="4" s="1"/>
  <c r="Z32" i="4" s="1"/>
  <c r="Z33" i="4" s="1"/>
  <c r="Z34" i="4" s="1"/>
  <c r="Z35" i="4" s="1"/>
  <c r="Z36" i="4" s="1"/>
  <c r="Z37" i="4" s="1"/>
  <c r="Z38" i="4" s="1"/>
  <c r="Z39" i="4" s="1"/>
  <c r="Z40" i="4" s="1"/>
  <c r="Z41" i="4" s="1"/>
  <c r="Z42" i="4" s="1"/>
  <c r="Z43" i="4" s="1"/>
  <c r="Z44" i="4" s="1"/>
  <c r="Z45" i="4" s="1"/>
  <c r="Z46" i="4" s="1"/>
  <c r="Z47" i="4" s="1"/>
  <c r="Z48" i="4" s="1"/>
  <c r="Z49" i="4" s="1"/>
  <c r="Z50" i="4" s="1"/>
  <c r="Z51" i="4" s="1"/>
  <c r="Z52" i="4" s="1"/>
  <c r="L35" i="4"/>
  <c r="K12" i="1" l="1"/>
  <c r="C46" i="1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E29" i="8"/>
  <c r="I39" i="1" s="1"/>
  <c r="F30" i="8"/>
  <c r="J40" i="1" s="1"/>
  <c r="F29" i="8"/>
  <c r="I40" i="1" s="1"/>
  <c r="F28" i="8"/>
  <c r="H40" i="1" s="1"/>
  <c r="F27" i="8"/>
  <c r="G40" i="1" s="1"/>
  <c r="D30" i="8"/>
  <c r="J38" i="1" s="1"/>
  <c r="D29" i="8"/>
  <c r="I38" i="1" s="1"/>
  <c r="D28" i="8"/>
  <c r="H38" i="1" s="1"/>
  <c r="D27" i="8"/>
  <c r="G38" i="1" s="1"/>
  <c r="B30" i="8"/>
  <c r="J37" i="1" s="1"/>
  <c r="J44" i="1" s="1"/>
  <c r="B29" i="8"/>
  <c r="I37" i="1" s="1"/>
  <c r="I44" i="1" s="1"/>
  <c r="B28" i="8"/>
  <c r="H37" i="1" s="1"/>
  <c r="B27" i="8"/>
  <c r="G37" i="1" s="1"/>
  <c r="G44" i="1" s="1"/>
  <c r="E30" i="8"/>
  <c r="J39" i="1" s="1"/>
  <c r="E28" i="8"/>
  <c r="H39" i="1" s="1"/>
  <c r="E27" i="8"/>
  <c r="G39" i="1" s="1"/>
  <c r="K40" i="7"/>
  <c r="J29" i="1" s="1"/>
  <c r="K39" i="7"/>
  <c r="I29" i="1" s="1"/>
  <c r="K38" i="7"/>
  <c r="H29" i="1" s="1"/>
  <c r="K37" i="7"/>
  <c r="G29" i="1" s="1"/>
  <c r="J40" i="7"/>
  <c r="J28" i="1" s="1"/>
  <c r="J39" i="7"/>
  <c r="I28" i="1" s="1"/>
  <c r="J38" i="7"/>
  <c r="H28" i="1" s="1"/>
  <c r="J37" i="7"/>
  <c r="G28" i="1" s="1"/>
  <c r="I40" i="7"/>
  <c r="J26" i="1" s="1"/>
  <c r="I39" i="7"/>
  <c r="I26" i="1" s="1"/>
  <c r="I38" i="7"/>
  <c r="I37" i="7"/>
  <c r="H40" i="7"/>
  <c r="J25" i="1" s="1"/>
  <c r="H39" i="7"/>
  <c r="I25" i="1" s="1"/>
  <c r="H38" i="7"/>
  <c r="H25" i="1" s="1"/>
  <c r="H37" i="7"/>
  <c r="G25" i="1" s="1"/>
  <c r="H59" i="2"/>
  <c r="J6" i="1" s="1"/>
  <c r="H58" i="2"/>
  <c r="I6" i="1" s="1"/>
  <c r="H57" i="2"/>
  <c r="H6" i="1" s="1"/>
  <c r="H56" i="2"/>
  <c r="G6" i="1" s="1"/>
  <c r="F59" i="2"/>
  <c r="J10" i="1" s="1"/>
  <c r="F58" i="2"/>
  <c r="I10" i="1" s="1"/>
  <c r="F57" i="2"/>
  <c r="H10" i="1" s="1"/>
  <c r="F56" i="2"/>
  <c r="G10" i="1" s="1"/>
  <c r="C59" i="2"/>
  <c r="J5" i="1" s="1"/>
  <c r="C58" i="2"/>
  <c r="I5" i="1" s="1"/>
  <c r="C57" i="2"/>
  <c r="H5" i="1" s="1"/>
  <c r="C56" i="2"/>
  <c r="G5" i="1" s="1"/>
  <c r="D59" i="2"/>
  <c r="J9" i="1" s="1"/>
  <c r="D58" i="2"/>
  <c r="I9" i="1" s="1"/>
  <c r="D57" i="2"/>
  <c r="H9" i="1" s="1"/>
  <c r="D56" i="2"/>
  <c r="G9" i="1" s="1"/>
  <c r="G40" i="7"/>
  <c r="J24" i="1" s="1"/>
  <c r="G39" i="7"/>
  <c r="I24" i="1" s="1"/>
  <c r="G38" i="7"/>
  <c r="H24" i="1" s="1"/>
  <c r="G37" i="7"/>
  <c r="G24" i="1" s="1"/>
  <c r="D40" i="7"/>
  <c r="J23" i="1" s="1"/>
  <c r="D39" i="7"/>
  <c r="I23" i="1" s="1"/>
  <c r="D38" i="7"/>
  <c r="H23" i="1" s="1"/>
  <c r="D37" i="7"/>
  <c r="G23" i="1" s="1"/>
  <c r="B40" i="7"/>
  <c r="J22" i="1" s="1"/>
  <c r="B39" i="7"/>
  <c r="I22" i="1" s="1"/>
  <c r="B38" i="7"/>
  <c r="H22" i="1" s="1"/>
  <c r="B37" i="7"/>
  <c r="G22" i="1" s="1"/>
  <c r="D43" i="6"/>
  <c r="J35" i="1" s="1"/>
  <c r="D42" i="6"/>
  <c r="I35" i="1" s="1"/>
  <c r="D41" i="6"/>
  <c r="H35" i="1" s="1"/>
  <c r="D40" i="6"/>
  <c r="G35" i="1" s="1"/>
  <c r="E45" i="4"/>
  <c r="J20" i="1" s="1"/>
  <c r="E44" i="4"/>
  <c r="I20" i="1" s="1"/>
  <c r="E43" i="4"/>
  <c r="H20" i="1" s="1"/>
  <c r="E42" i="4"/>
  <c r="G20" i="1" s="1"/>
  <c r="C43" i="6"/>
  <c r="J34" i="1" s="1"/>
  <c r="C42" i="6"/>
  <c r="I34" i="1" s="1"/>
  <c r="C41" i="6"/>
  <c r="C40" i="6"/>
  <c r="G34" i="1" s="1"/>
  <c r="D45" i="4"/>
  <c r="J19" i="1" s="1"/>
  <c r="J21" i="1" s="1"/>
  <c r="D44" i="4"/>
  <c r="I19" i="1" s="1"/>
  <c r="I21" i="1" s="1"/>
  <c r="D43" i="4"/>
  <c r="H19" i="1" s="1"/>
  <c r="D42" i="4"/>
  <c r="G19" i="1" s="1"/>
  <c r="G21" i="1" s="1"/>
  <c r="B43" i="6"/>
  <c r="J33" i="1" s="1"/>
  <c r="B42" i="6"/>
  <c r="I33" i="1" s="1"/>
  <c r="B41" i="6"/>
  <c r="F12" i="6" s="1"/>
  <c r="B40" i="6"/>
  <c r="G33" i="1" s="1"/>
  <c r="G36" i="1" s="1"/>
  <c r="H12" i="6"/>
  <c r="H11" i="6"/>
  <c r="B67" i="5"/>
  <c r="B68" i="5"/>
  <c r="B66" i="5"/>
  <c r="B65" i="5"/>
  <c r="B62" i="5"/>
  <c r="B61" i="5"/>
  <c r="B60" i="5"/>
  <c r="B59" i="5"/>
  <c r="B56" i="5"/>
  <c r="B55" i="5"/>
  <c r="I32" i="1" s="1"/>
  <c r="B54" i="5"/>
  <c r="H32" i="1" s="1"/>
  <c r="B53" i="5"/>
  <c r="G32" i="1" s="1"/>
  <c r="J14" i="1"/>
  <c r="B58" i="2"/>
  <c r="I2" i="1" s="1"/>
  <c r="B43" i="4"/>
  <c r="H14" i="1" s="1"/>
  <c r="B42" i="4"/>
  <c r="G14" i="1" s="1"/>
  <c r="G18" i="1" s="1"/>
  <c r="H12" i="5"/>
  <c r="G12" i="5"/>
  <c r="H11" i="5"/>
  <c r="G11" i="5"/>
  <c r="B63" i="2"/>
  <c r="B62" i="2"/>
  <c r="B67" i="2"/>
  <c r="B66" i="2"/>
  <c r="B59" i="2"/>
  <c r="J2" i="1" s="1"/>
  <c r="B57" i="2"/>
  <c r="H2" i="1" s="1"/>
  <c r="B56" i="2"/>
  <c r="G2" i="1" s="1"/>
  <c r="G4" i="1" s="1"/>
  <c r="H12" i="3"/>
  <c r="G12" i="3"/>
  <c r="F12" i="3"/>
  <c r="H11" i="3"/>
  <c r="G11" i="3"/>
  <c r="F11" i="3"/>
  <c r="S12" i="2"/>
  <c r="S11" i="2"/>
  <c r="H26" i="1" l="1"/>
  <c r="G26" i="1"/>
  <c r="R11" i="2"/>
  <c r="R12" i="2"/>
  <c r="F11" i="6"/>
  <c r="H33" i="1"/>
  <c r="F11" i="5"/>
  <c r="J32" i="1"/>
  <c r="F12" i="5"/>
  <c r="G12" i="6"/>
  <c r="H34" i="1"/>
  <c r="G11" i="6"/>
  <c r="G30" i="1"/>
  <c r="G31" i="1" s="1"/>
  <c r="G11" i="1"/>
  <c r="G12" i="1" s="1"/>
  <c r="J11" i="1"/>
  <c r="I11" i="1"/>
  <c r="Q11" i="2"/>
  <c r="Q12" i="2"/>
</calcChain>
</file>

<file path=xl/sharedStrings.xml><?xml version="1.0" encoding="utf-8"?>
<sst xmlns="http://schemas.openxmlformats.org/spreadsheetml/2006/main" count="438" uniqueCount="224">
  <si>
    <t>All measurements x10-3  SI units</t>
  </si>
  <si>
    <t>Day</t>
  </si>
  <si>
    <t>Stop</t>
  </si>
  <si>
    <t xml:space="preserve">Locations </t>
  </si>
  <si>
    <t>WGS84</t>
  </si>
  <si>
    <t>UTM</t>
  </si>
  <si>
    <t>Z55</t>
  </si>
  <si>
    <t>GDA 94</t>
  </si>
  <si>
    <t>East</t>
  </si>
  <si>
    <t>North</t>
  </si>
  <si>
    <t>All</t>
  </si>
  <si>
    <t>&lt;0.05</t>
  </si>
  <si>
    <t>0.05-0.10</t>
  </si>
  <si>
    <t>SUSCEPTIBILITY MEASUREMENTS, KING ISLAND</t>
  </si>
  <si>
    <t>Z54</t>
  </si>
  <si>
    <t>Currie Harbour</t>
  </si>
  <si>
    <t>742327E</t>
  </si>
  <si>
    <t>5576963N</t>
  </si>
  <si>
    <t>742647E</t>
  </si>
  <si>
    <t>5576978N</t>
  </si>
  <si>
    <t>742735E</t>
  </si>
  <si>
    <t>5576969N</t>
  </si>
  <si>
    <t>Mean</t>
  </si>
  <si>
    <t>Median</t>
  </si>
  <si>
    <t>Upper limit</t>
  </si>
  <si>
    <t>Lower limit</t>
  </si>
  <si>
    <t>Mean from b34</t>
  </si>
  <si>
    <t>Median from b34</t>
  </si>
  <si>
    <t>Mean to b33</t>
  </si>
  <si>
    <t>Median to b33</t>
  </si>
  <si>
    <t>Contact Mmorphosed?</t>
  </si>
  <si>
    <t>N Currie Harbour</t>
  </si>
  <si>
    <t>S. City of Melb Bay</t>
  </si>
  <si>
    <t>City of Melb. Bay</t>
  </si>
  <si>
    <t>(dyke)</t>
  </si>
  <si>
    <t>Red Mud-Sst</t>
  </si>
  <si>
    <t>Dk green lithic Sst</t>
  </si>
  <si>
    <t>Green</t>
  </si>
  <si>
    <t>Red</t>
  </si>
  <si>
    <t>(3 in guide)</t>
  </si>
  <si>
    <t>Hyaloclastite-slt</t>
  </si>
  <si>
    <t>5566935N</t>
  </si>
  <si>
    <t>253931E</t>
  </si>
  <si>
    <t>Picrite</t>
  </si>
  <si>
    <t>Upper Limit</t>
  </si>
  <si>
    <t>Upper tholeiite'</t>
  </si>
  <si>
    <t>(4 in guide)</t>
  </si>
  <si>
    <t>Hyalocl-pahoehoe</t>
  </si>
  <si>
    <t>Locality 2</t>
  </si>
  <si>
    <t>Locality 3</t>
  </si>
  <si>
    <t>Locality 4b</t>
  </si>
  <si>
    <t>Picrite lava</t>
  </si>
  <si>
    <t>N=</t>
  </si>
  <si>
    <t>Lahar?</t>
  </si>
  <si>
    <t>Localitities refer to Calver Record 2007/02</t>
  </si>
  <si>
    <t>W Cape Wickham</t>
  </si>
  <si>
    <t>Stokes Pt</t>
  </si>
  <si>
    <t>5550276N</t>
  </si>
  <si>
    <t>749407E</t>
  </si>
  <si>
    <t>5550279N</t>
  </si>
  <si>
    <t>749075E</t>
  </si>
  <si>
    <t>749139E</t>
  </si>
  <si>
    <t>5550295N</t>
  </si>
  <si>
    <t>746452E</t>
  </si>
  <si>
    <t>5569037N</t>
  </si>
  <si>
    <t>746535E</t>
  </si>
  <si>
    <t>5569033N</t>
  </si>
  <si>
    <t>746412E</t>
  </si>
  <si>
    <t>5569053N</t>
  </si>
  <si>
    <t>Ettrick Bay</t>
  </si>
  <si>
    <t>752386E</t>
  </si>
  <si>
    <t>5613857N</t>
  </si>
  <si>
    <t>Nth Ettrick Bay</t>
  </si>
  <si>
    <t>E Cape Wickham</t>
  </si>
  <si>
    <r>
      <t>135</t>
    </r>
    <r>
      <rPr>
        <vertAlign val="superscript"/>
        <sz val="11"/>
        <color theme="1"/>
        <rFont val="Calibri"/>
        <family val="2"/>
        <scheme val="minor"/>
      </rPr>
      <t>o</t>
    </r>
  </si>
  <si>
    <r>
      <t>025</t>
    </r>
    <r>
      <rPr>
        <vertAlign val="superscript"/>
        <sz val="11"/>
        <color theme="1"/>
        <rFont val="Calibri"/>
        <family val="2"/>
        <scheme val="minor"/>
      </rPr>
      <t>o</t>
    </r>
  </si>
  <si>
    <r>
      <t>000</t>
    </r>
    <r>
      <rPr>
        <vertAlign val="superscript"/>
        <sz val="11"/>
        <color theme="1"/>
        <rFont val="Calibri"/>
        <family val="2"/>
        <scheme val="minor"/>
      </rPr>
      <t>o</t>
    </r>
  </si>
  <si>
    <t>Strike of Dyke (mag N)</t>
  </si>
  <si>
    <r>
      <t>170</t>
    </r>
    <r>
      <rPr>
        <vertAlign val="superscript"/>
        <sz val="11"/>
        <color theme="1"/>
        <rFont val="Calibri"/>
        <family val="2"/>
        <scheme val="minor"/>
      </rPr>
      <t>o</t>
    </r>
  </si>
  <si>
    <t>Disappointment Bay</t>
  </si>
  <si>
    <t>Variable, transitional to metaseds</t>
  </si>
  <si>
    <t>&lt;2</t>
  </si>
  <si>
    <t>2.5-5</t>
  </si>
  <si>
    <t>5-7.5</t>
  </si>
  <si>
    <t>7.5-10</t>
  </si>
  <si>
    <t>10-12.5</t>
  </si>
  <si>
    <t>12.5-15</t>
  </si>
  <si>
    <t>15-17.5</t>
  </si>
  <si>
    <t>17.5-20</t>
  </si>
  <si>
    <t>20-22.5</t>
  </si>
  <si>
    <t>22.5-25</t>
  </si>
  <si>
    <t>25-27.5</t>
  </si>
  <si>
    <t>27.5-30</t>
  </si>
  <si>
    <t>30-32.5</t>
  </si>
  <si>
    <t>32.5-35</t>
  </si>
  <si>
    <t>35-37.5</t>
  </si>
  <si>
    <t>37.5-40</t>
  </si>
  <si>
    <t>40-42.5</t>
  </si>
  <si>
    <t>42.5-45</t>
  </si>
  <si>
    <t>45-47.5</t>
  </si>
  <si>
    <t>47.5-50</t>
  </si>
  <si>
    <t>50-52.5</t>
  </si>
  <si>
    <t>52.5-55</t>
  </si>
  <si>
    <t>55-57.5</t>
  </si>
  <si>
    <t>57.5-60</t>
  </si>
  <si>
    <t>60-62.5</t>
  </si>
  <si>
    <t>62.5-65</t>
  </si>
  <si>
    <t>&gt;65</t>
  </si>
  <si>
    <t>Picritic basalt</t>
  </si>
  <si>
    <r>
      <t>Suggests a starting susceptibility for these rocks is about 40x10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SI</t>
    </r>
  </si>
  <si>
    <t>(Median of susceptibilities from 10 to 44)</t>
  </si>
  <si>
    <t>&lt;1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</si>
  <si>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</si>
  <si>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</si>
  <si>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</si>
  <si>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</si>
  <si>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</si>
  <si>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</si>
  <si>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</si>
  <si>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</si>
  <si>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</si>
  <si>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</si>
  <si>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True N add 12 deg</t>
  </si>
  <si>
    <t>Felsic</t>
  </si>
  <si>
    <t>Mafic</t>
  </si>
  <si>
    <r>
      <t>Strike ~ 045</t>
    </r>
    <r>
      <rPr>
        <vertAlign val="superscript"/>
        <sz val="11"/>
        <color theme="1"/>
        <rFont val="Calibri"/>
        <family val="2"/>
        <scheme val="minor"/>
      </rPr>
      <t>o</t>
    </r>
  </si>
  <si>
    <t>&lt;0.02</t>
  </si>
  <si>
    <t>0.02-0.04</t>
  </si>
  <si>
    <t>0.04-0.06</t>
  </si>
  <si>
    <t>0.06-0.08</t>
  </si>
  <si>
    <t>0.08-0.10</t>
  </si>
  <si>
    <t>0.10-0.12</t>
  </si>
  <si>
    <t>0.012-0.14</t>
  </si>
  <si>
    <t>0.14-0.16</t>
  </si>
  <si>
    <t>0.16-0.18</t>
  </si>
  <si>
    <t>0.18-0.20</t>
  </si>
  <si>
    <t>0.20-0.22</t>
  </si>
  <si>
    <t>Cape Wickham Granite</t>
  </si>
  <si>
    <t xml:space="preserve">All Cape Wickham </t>
  </si>
  <si>
    <t>Granite</t>
  </si>
  <si>
    <t>Unit</t>
  </si>
  <si>
    <t>E_GDA94</t>
  </si>
  <si>
    <t>N_GDA94</t>
  </si>
  <si>
    <t>Lithology</t>
  </si>
  <si>
    <t>Mean_Sus</t>
  </si>
  <si>
    <t>Median_sus</t>
  </si>
  <si>
    <t>Uppr_sus</t>
  </si>
  <si>
    <t>Lowr_sus</t>
  </si>
  <si>
    <t>N</t>
  </si>
  <si>
    <t>Day/stop</t>
  </si>
  <si>
    <t>Samples</t>
  </si>
  <si>
    <t>Surprise Bay Metaseds</t>
  </si>
  <si>
    <t xml:space="preserve">Pegmatite </t>
  </si>
  <si>
    <t>Amphibolite</t>
  </si>
  <si>
    <t>Yarra Ck Shale</t>
  </si>
  <si>
    <t>Greenschist metaseds</t>
  </si>
  <si>
    <t>1/1</t>
  </si>
  <si>
    <t>Amphibolite grade metaseds</t>
  </si>
  <si>
    <t>2/2</t>
  </si>
  <si>
    <t>Part contact metamorphosed?</t>
  </si>
  <si>
    <t>3/1</t>
  </si>
  <si>
    <t>3/2</t>
  </si>
  <si>
    <t>4/1</t>
  </si>
  <si>
    <t>Picritic lava</t>
  </si>
  <si>
    <t>Zone</t>
  </si>
  <si>
    <t>?Mesoprot. Basalt</t>
  </si>
  <si>
    <t>2/3</t>
  </si>
  <si>
    <t>2/4b</t>
  </si>
  <si>
    <t>Location</t>
  </si>
  <si>
    <t>W. Cape Wickham</t>
  </si>
  <si>
    <t>Mafic amphibolite</t>
  </si>
  <si>
    <t>N. Ettrick Bay</t>
  </si>
  <si>
    <t>4/2</t>
  </si>
  <si>
    <t>4/3</t>
  </si>
  <si>
    <t>E. Cape Wickham</t>
  </si>
  <si>
    <t>4/4</t>
  </si>
  <si>
    <t>4/5</t>
  </si>
  <si>
    <t>Cape Wickham</t>
  </si>
  <si>
    <t>Lithic sst &amp; shale</t>
  </si>
  <si>
    <t>2/1</t>
  </si>
  <si>
    <t>Hyaloclastite</t>
  </si>
  <si>
    <t>Silty hyaloclastite</t>
  </si>
  <si>
    <t>Hyaloclastite-pahoehoe</t>
  </si>
  <si>
    <t>2/4</t>
  </si>
  <si>
    <t>4/6</t>
  </si>
  <si>
    <t>Mafic interlayer</t>
  </si>
  <si>
    <t>Felsic phase</t>
  </si>
  <si>
    <t>Total readings</t>
  </si>
  <si>
    <t>11DM2</t>
  </si>
  <si>
    <t>11DM3</t>
  </si>
  <si>
    <t>11DM4</t>
  </si>
  <si>
    <t>11DM8</t>
  </si>
  <si>
    <t>11DM6</t>
  </si>
  <si>
    <t>11DM5</t>
  </si>
  <si>
    <t>Basalt</t>
  </si>
  <si>
    <t>(includes dyke)</t>
  </si>
  <si>
    <t>11DM10, 11DM9</t>
  </si>
  <si>
    <t>11DM11</t>
  </si>
  <si>
    <t>742545E</t>
  </si>
  <si>
    <t>5576942N</t>
  </si>
  <si>
    <t>Basalt dykes</t>
  </si>
  <si>
    <t>742759E</t>
  </si>
  <si>
    <t>5576950N</t>
  </si>
  <si>
    <t>742781E</t>
  </si>
  <si>
    <t>5576911N</t>
  </si>
  <si>
    <t>742859E</t>
  </si>
  <si>
    <t>5576692N</t>
  </si>
  <si>
    <t>Nth Currie Harbour</t>
  </si>
  <si>
    <t>Sth of Porkys Beach</t>
  </si>
  <si>
    <t>?Andesite dykes</t>
  </si>
  <si>
    <t>Stokes Pt West</t>
  </si>
  <si>
    <t>N of Stokes Pt</t>
  </si>
  <si>
    <t>S of Porkys Beach</t>
  </si>
  <si>
    <t>Low mag. basalt</t>
  </si>
  <si>
    <t>Neoprot. picritic basalt</t>
  </si>
  <si>
    <t>Greenschist facies dykes</t>
  </si>
  <si>
    <t>?Andesitic dykes in granite</t>
  </si>
  <si>
    <t>Basalt flows, several places</t>
  </si>
  <si>
    <t>Metasediments</t>
  </si>
  <si>
    <t>All 'amphibolite' dykes</t>
  </si>
  <si>
    <t>Currie Harbour All</t>
  </si>
  <si>
    <t xml:space="preserve">Median </t>
  </si>
  <si>
    <t>Stokes Point</t>
  </si>
  <si>
    <t>Median, Cape Wickham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</si>
</sst>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C09]d\ mmmm\ yyyy;@"/>
    <numFmt numFmtId="165" formatCode="[$-C09]dd\-mmm\-yy;@"/>
    <numFmt numFmtId="166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5" tint="-0.499984740745262"/>
      <name val="Arial"/>
      <family val="2"/>
    </font>
    <font>
      <b/>
      <sz val="10"/>
      <color theme="4" tint="-0.49998474074526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1F4FF"/>
        <bgColor indexed="64"/>
      </patternFill>
    </fill>
    <fill>
      <patternFill patternType="solid">
        <fgColor rgb="FFFFE7FF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164" fontId="0" fillId="0" borderId="0" xfId="0" applyNumberFormat="1"/>
    <xf numFmtId="16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/>
    <xf numFmtId="1" fontId="2" fillId="2" borderId="0" xfId="0" applyNumberFormat="1" applyFont="1" applyFill="1" applyAlignment="1">
      <alignment horizontal="right" vertical="top" wrapText="1"/>
    </xf>
    <xf numFmtId="0" fontId="3" fillId="3" borderId="0" xfId="0" applyFont="1" applyFill="1"/>
    <xf numFmtId="0" fontId="4" fillId="3" borderId="0" xfId="0" applyFont="1" applyFill="1"/>
    <xf numFmtId="49" fontId="4" fillId="3" borderId="0" xfId="0" applyNumberFormat="1" applyFont="1" applyFill="1"/>
    <xf numFmtId="0" fontId="0" fillId="4" borderId="0" xfId="0" applyFill="1"/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5" borderId="0" xfId="0" applyFill="1"/>
    <xf numFmtId="0" fontId="0" fillId="6" borderId="0" xfId="0" applyFill="1"/>
    <xf numFmtId="166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quotePrefix="1"/>
    <xf numFmtId="2" fontId="0" fillId="0" borderId="0" xfId="0" applyNumberFormat="1" applyAlignment="1">
      <alignment horizontal="left"/>
    </xf>
    <xf numFmtId="2" fontId="0" fillId="0" borderId="1" xfId="0" applyNumberFormat="1" applyBorder="1"/>
    <xf numFmtId="2" fontId="0" fillId="0" borderId="1" xfId="0" applyNumberFormat="1" applyBorder="1" applyAlignment="1">
      <alignment horizontal="left"/>
    </xf>
    <xf numFmtId="2" fontId="0" fillId="0" borderId="2" xfId="0" applyNumberFormat="1" applyBorder="1"/>
    <xf numFmtId="2" fontId="0" fillId="0" borderId="0" xfId="0" applyNumberFormat="1" applyBorder="1"/>
    <xf numFmtId="2" fontId="0" fillId="0" borderId="3" xfId="0" applyNumberFormat="1" applyBorder="1"/>
    <xf numFmtId="0" fontId="0" fillId="0" borderId="3" xfId="0" applyBorder="1"/>
    <xf numFmtId="2" fontId="0" fillId="0" borderId="0" xfId="0" applyNumberFormat="1" applyBorder="1" applyAlignment="1">
      <alignment horizontal="left"/>
    </xf>
    <xf numFmtId="2" fontId="0" fillId="0" borderId="3" xfId="0" applyNumberFormat="1" applyBorder="1" applyAlignment="1">
      <alignment horizontal="left"/>
    </xf>
    <xf numFmtId="0" fontId="0" fillId="0" borderId="0" xfId="0" applyFill="1" applyBorder="1"/>
    <xf numFmtId="2" fontId="0" fillId="0" borderId="0" xfId="0" quotePrefix="1" applyNumberFormat="1"/>
    <xf numFmtId="2" fontId="0" fillId="0" borderId="0" xfId="0" applyNumberFormat="1" applyFill="1" applyBorder="1"/>
    <xf numFmtId="2" fontId="0" fillId="0" borderId="0" xfId="0" applyNumberFormat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0" fontId="0" fillId="7" borderId="0" xfId="0" applyFill="1"/>
    <xf numFmtId="2" fontId="0" fillId="7" borderId="0" xfId="0" applyNumberFormat="1" applyFill="1"/>
    <xf numFmtId="0" fontId="0" fillId="7" borderId="0" xfId="0" applyFill="1" applyAlignment="1">
      <alignment horizontal="right"/>
    </xf>
    <xf numFmtId="1" fontId="0" fillId="7" borderId="0" xfId="0" applyNumberFormat="1" applyFill="1"/>
    <xf numFmtId="0" fontId="0" fillId="0" borderId="0" xfId="0" applyBorder="1"/>
    <xf numFmtId="2" fontId="1" fillId="0" borderId="0" xfId="0" applyNumberFormat="1" applyFont="1"/>
    <xf numFmtId="0" fontId="0" fillId="0" borderId="0" xfId="0" applyAlignment="1">
      <alignment horizontal="left"/>
    </xf>
    <xf numFmtId="0" fontId="0" fillId="0" borderId="0" xfId="0" applyFill="1"/>
    <xf numFmtId="49" fontId="0" fillId="0" borderId="0" xfId="0" applyNumberFormat="1"/>
    <xf numFmtId="1" fontId="2" fillId="0" borderId="0" xfId="0" applyNumberFormat="1" applyFont="1" applyFill="1" applyAlignment="1">
      <alignment horizontal="right" vertical="top" wrapText="1"/>
    </xf>
    <xf numFmtId="0" fontId="6" fillId="6" borderId="0" xfId="0" applyFont="1" applyFill="1" applyAlignment="1"/>
    <xf numFmtId="0" fontId="6" fillId="6" borderId="0" xfId="0" applyFont="1" applyFill="1"/>
    <xf numFmtId="2" fontId="6" fillId="6" borderId="0" xfId="0" applyNumberFormat="1" applyFont="1" applyFill="1"/>
    <xf numFmtId="0" fontId="6" fillId="6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0" fillId="8" borderId="0" xfId="0" applyFill="1"/>
    <xf numFmtId="2" fontId="0" fillId="8" borderId="0" xfId="0" applyNumberFormat="1" applyFill="1"/>
    <xf numFmtId="0" fontId="0" fillId="8" borderId="0" xfId="0" applyFill="1" applyAlignment="1">
      <alignment horizontal="right"/>
    </xf>
    <xf numFmtId="1" fontId="0" fillId="8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49" fontId="0" fillId="8" borderId="0" xfId="0" applyNumberFormat="1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9" borderId="0" xfId="0" applyFill="1"/>
    <xf numFmtId="2" fontId="0" fillId="9" borderId="0" xfId="0" applyNumberFormat="1" applyFill="1"/>
    <xf numFmtId="49" fontId="0" fillId="9" borderId="0" xfId="0" applyNumberFormat="1" applyFill="1" applyAlignment="1">
      <alignment horizontal="center"/>
    </xf>
    <xf numFmtId="0" fontId="0" fillId="10" borderId="0" xfId="0" applyFill="1"/>
    <xf numFmtId="2" fontId="0" fillId="10" borderId="0" xfId="0" applyNumberFormat="1" applyFill="1"/>
    <xf numFmtId="49" fontId="0" fillId="10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1" fontId="0" fillId="9" borderId="0" xfId="0" applyNumberFormat="1" applyFill="1" applyAlignment="1">
      <alignment horizontal="center"/>
    </xf>
    <xf numFmtId="1" fontId="0" fillId="10" borderId="0" xfId="0" applyNumberFormat="1" applyFill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horizontal="center"/>
    </xf>
    <xf numFmtId="1" fontId="1" fillId="10" borderId="0" xfId="0" applyNumberFormat="1" applyFont="1" applyFill="1" applyAlignment="1">
      <alignment horizontal="center"/>
    </xf>
    <xf numFmtId="2" fontId="1" fillId="10" borderId="0" xfId="0" applyNumberFormat="1" applyFont="1" applyFill="1"/>
    <xf numFmtId="0" fontId="9" fillId="10" borderId="0" xfId="0" applyFont="1" applyFill="1"/>
    <xf numFmtId="0" fontId="9" fillId="10" borderId="0" xfId="0" applyFont="1" applyFill="1" applyAlignment="1">
      <alignment horizontal="center"/>
    </xf>
    <xf numFmtId="2" fontId="9" fillId="10" borderId="0" xfId="0" applyNumberFormat="1" applyFont="1" applyFill="1"/>
    <xf numFmtId="1" fontId="9" fillId="10" borderId="0" xfId="0" applyNumberFormat="1" applyFont="1" applyFill="1" applyAlignment="1">
      <alignment horizontal="center"/>
    </xf>
    <xf numFmtId="49" fontId="9" fillId="10" borderId="0" xfId="0" applyNumberFormat="1" applyFont="1" applyFill="1" applyAlignment="1">
      <alignment horizontal="center"/>
    </xf>
    <xf numFmtId="0" fontId="9" fillId="9" borderId="0" xfId="0" applyFont="1" applyFill="1"/>
    <xf numFmtId="0" fontId="9" fillId="9" borderId="0" xfId="0" applyFont="1" applyFill="1" applyAlignment="1">
      <alignment horizontal="center"/>
    </xf>
    <xf numFmtId="166" fontId="9" fillId="9" borderId="0" xfId="0" applyNumberFormat="1" applyFont="1" applyFill="1"/>
    <xf numFmtId="1" fontId="9" fillId="9" borderId="0" xfId="0" applyNumberFormat="1" applyFont="1" applyFill="1" applyAlignment="1">
      <alignment horizontal="center"/>
    </xf>
    <xf numFmtId="0" fontId="9" fillId="8" borderId="0" xfId="0" applyFont="1" applyFill="1"/>
    <xf numFmtId="0" fontId="9" fillId="8" borderId="0" xfId="0" applyFont="1" applyFill="1" applyAlignment="1">
      <alignment horizontal="center"/>
    </xf>
    <xf numFmtId="2" fontId="9" fillId="8" borderId="0" xfId="0" applyNumberFormat="1" applyFont="1" applyFill="1"/>
    <xf numFmtId="1" fontId="9" fillId="8" borderId="0" xfId="0" applyNumberFormat="1" applyFont="1" applyFill="1" applyAlignment="1">
      <alignment horizontal="center"/>
    </xf>
    <xf numFmtId="49" fontId="9" fillId="8" borderId="0" xfId="0" applyNumberFormat="1" applyFont="1" applyFill="1" applyAlignment="1">
      <alignment horizontal="center"/>
    </xf>
    <xf numFmtId="0" fontId="9" fillId="4" borderId="0" xfId="0" applyFont="1" applyFill="1"/>
    <xf numFmtId="0" fontId="9" fillId="4" borderId="0" xfId="0" applyFont="1" applyFill="1" applyAlignment="1">
      <alignment horizontal="center"/>
    </xf>
    <xf numFmtId="2" fontId="9" fillId="4" borderId="0" xfId="0" applyNumberFormat="1" applyFont="1" applyFill="1"/>
    <xf numFmtId="1" fontId="9" fillId="4" borderId="0" xfId="0" applyNumberFormat="1" applyFont="1" applyFill="1" applyAlignment="1">
      <alignment horizontal="center"/>
    </xf>
    <xf numFmtId="49" fontId="0" fillId="4" borderId="0" xfId="0" applyNumberFormat="1" applyFont="1" applyFill="1" applyAlignment="1">
      <alignment horizontal="center"/>
    </xf>
    <xf numFmtId="0" fontId="0" fillId="11" borderId="0" xfId="0" applyFill="1"/>
    <xf numFmtId="0" fontId="0" fillId="11" borderId="0" xfId="0" applyFill="1" applyAlignment="1">
      <alignment horizontal="center"/>
    </xf>
    <xf numFmtId="2" fontId="0" fillId="11" borderId="0" xfId="0" applyNumberFormat="1" applyFill="1"/>
    <xf numFmtId="1" fontId="0" fillId="11" borderId="0" xfId="0" applyNumberFormat="1" applyFill="1" applyAlignment="1">
      <alignment horizontal="center"/>
    </xf>
    <xf numFmtId="49" fontId="0" fillId="11" borderId="0" xfId="0" applyNumberFormat="1" applyFill="1" applyAlignment="1">
      <alignment horizontal="center"/>
    </xf>
    <xf numFmtId="49" fontId="0" fillId="10" borderId="0" xfId="0" applyNumberFormat="1" applyFont="1" applyFill="1" applyAlignment="1">
      <alignment horizontal="center"/>
    </xf>
    <xf numFmtId="0" fontId="0" fillId="12" borderId="0" xfId="0" applyFill="1"/>
    <xf numFmtId="0" fontId="0" fillId="12" borderId="0" xfId="0" applyFill="1" applyAlignment="1">
      <alignment horizontal="center"/>
    </xf>
    <xf numFmtId="2" fontId="0" fillId="12" borderId="0" xfId="0" applyNumberFormat="1" applyFill="1"/>
    <xf numFmtId="1" fontId="0" fillId="12" borderId="0" xfId="0" applyNumberFormat="1" applyFill="1" applyAlignment="1">
      <alignment horizontal="center"/>
    </xf>
    <xf numFmtId="49" fontId="0" fillId="12" borderId="0" xfId="0" applyNumberFormat="1" applyFill="1" applyAlignment="1">
      <alignment horizontal="center"/>
    </xf>
    <xf numFmtId="0" fontId="9" fillId="11" borderId="0" xfId="0" applyFont="1" applyFill="1"/>
    <xf numFmtId="0" fontId="9" fillId="11" borderId="0" xfId="0" applyFont="1" applyFill="1" applyAlignment="1">
      <alignment horizontal="center"/>
    </xf>
    <xf numFmtId="2" fontId="9" fillId="11" borderId="0" xfId="0" applyNumberFormat="1" applyFont="1" applyFill="1"/>
    <xf numFmtId="1" fontId="9" fillId="11" borderId="0" xfId="0" applyNumberFormat="1" applyFont="1" applyFill="1" applyAlignment="1">
      <alignment horizontal="center"/>
    </xf>
    <xf numFmtId="49" fontId="9" fillId="11" borderId="0" xfId="0" applyNumberFormat="1" applyFont="1" applyFill="1" applyAlignment="1">
      <alignment horizontal="center"/>
    </xf>
    <xf numFmtId="0" fontId="9" fillId="12" borderId="0" xfId="0" applyFont="1" applyFill="1"/>
    <xf numFmtId="0" fontId="9" fillId="12" borderId="0" xfId="0" applyFont="1" applyFill="1" applyAlignment="1">
      <alignment horizontal="center"/>
    </xf>
    <xf numFmtId="2" fontId="9" fillId="12" borderId="0" xfId="0" applyNumberFormat="1" applyFont="1" applyFill="1"/>
    <xf numFmtId="1" fontId="9" fillId="12" borderId="0" xfId="0" applyNumberFormat="1" applyFont="1" applyFill="1" applyAlignment="1">
      <alignment horizontal="center"/>
    </xf>
    <xf numFmtId="49" fontId="9" fillId="12" borderId="0" xfId="0" applyNumberFormat="1" applyFont="1" applyFill="1" applyAlignment="1">
      <alignment horizontal="center"/>
    </xf>
    <xf numFmtId="0" fontId="9" fillId="13" borderId="0" xfId="0" applyFont="1" applyFill="1"/>
    <xf numFmtId="0" fontId="0" fillId="10" borderId="0" xfId="0" applyFont="1" applyFill="1"/>
    <xf numFmtId="2" fontId="0" fillId="7" borderId="0" xfId="0" applyNumberFormat="1" applyFill="1" applyAlignment="1">
      <alignment horizontal="right"/>
    </xf>
    <xf numFmtId="15" fontId="0" fillId="0" borderId="0" xfId="0" applyNumberFormat="1"/>
    <xf numFmtId="2" fontId="0" fillId="0" borderId="3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1" fontId="0" fillId="8" borderId="0" xfId="0" applyNumberFormat="1" applyFill="1"/>
    <xf numFmtId="1" fontId="9" fillId="8" borderId="0" xfId="0" applyNumberFormat="1" applyFont="1" applyFill="1"/>
    <xf numFmtId="2" fontId="9" fillId="9" borderId="0" xfId="0" applyNumberFormat="1" applyFont="1" applyFill="1"/>
    <xf numFmtId="49" fontId="9" fillId="9" borderId="0" xfId="0" applyNumberFormat="1" applyFont="1" applyFill="1" applyAlignment="1">
      <alignment horizontal="center"/>
    </xf>
    <xf numFmtId="1" fontId="1" fillId="0" borderId="0" xfId="0" applyNumberFormat="1" applyFont="1"/>
    <xf numFmtId="0" fontId="1" fillId="9" borderId="0" xfId="0" applyFont="1" applyFill="1"/>
    <xf numFmtId="0" fontId="10" fillId="8" borderId="0" xfId="0" applyFont="1" applyFill="1"/>
    <xf numFmtId="0" fontId="10" fillId="8" borderId="0" xfId="0" applyFont="1" applyFill="1" applyAlignment="1">
      <alignment horizontal="center"/>
    </xf>
    <xf numFmtId="2" fontId="10" fillId="8" borderId="0" xfId="0" applyNumberFormat="1" applyFont="1" applyFill="1"/>
    <xf numFmtId="1" fontId="10" fillId="8" borderId="0" xfId="0" applyNumberFormat="1" applyFont="1" applyFill="1" applyAlignment="1">
      <alignment horizontal="center"/>
    </xf>
    <xf numFmtId="49" fontId="10" fillId="8" borderId="0" xfId="0" applyNumberFormat="1" applyFont="1" applyFill="1" applyAlignment="1">
      <alignment horizontal="center"/>
    </xf>
    <xf numFmtId="0" fontId="10" fillId="10" borderId="0" xfId="0" applyFont="1" applyFill="1"/>
    <xf numFmtId="0" fontId="10" fillId="10" borderId="0" xfId="0" applyFont="1" applyFill="1" applyAlignment="1">
      <alignment horizontal="center"/>
    </xf>
    <xf numFmtId="2" fontId="10" fillId="10" borderId="0" xfId="0" applyNumberFormat="1" applyFont="1" applyFill="1"/>
    <xf numFmtId="1" fontId="10" fillId="10" borderId="0" xfId="0" applyNumberFormat="1" applyFont="1" applyFill="1" applyAlignment="1">
      <alignment horizontal="center"/>
    </xf>
    <xf numFmtId="49" fontId="10" fillId="10" borderId="0" xfId="0" applyNumberFormat="1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CC"/>
      <color rgb="FFFFFFCC"/>
      <color rgb="FFDDFFDD"/>
      <color rgb="FFFFE7FF"/>
      <color rgb="FFE1F4FF"/>
      <color rgb="FFCCFFCC"/>
      <color rgb="FFFFCCFF"/>
      <color rgb="FFCCECFF"/>
      <color rgb="FF95B1E3"/>
      <color rgb="FF9AB5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600"/>
              <a:t>City of Melbourne Bay</a:t>
            </a:r>
            <a:endParaRPr lang="en-US" sz="1400"/>
          </a:p>
          <a:p>
            <a:pPr>
              <a:defRPr/>
            </a:pPr>
            <a:r>
              <a:rPr lang="en-US" sz="2000"/>
              <a:t>Picritic Basalt</a:t>
            </a:r>
            <a:endParaRPr lang="en-US" sz="2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N=44</c:v>
          </c:tx>
          <c:spPr>
            <a:solidFill>
              <a:srgbClr val="C0504D"/>
            </a:solidFill>
          </c:spPr>
          <c:invertIfNegative val="0"/>
          <c:cat>
            <c:strRef>
              <c:f>Basalt!$K$9:$K$35</c:f>
              <c:strCache>
                <c:ptCount val="27"/>
                <c:pt idx="0">
                  <c:v>&lt;2</c:v>
                </c:pt>
                <c:pt idx="1">
                  <c:v>2.5-5</c:v>
                </c:pt>
                <c:pt idx="2">
                  <c:v>5-7.5</c:v>
                </c:pt>
                <c:pt idx="3">
                  <c:v>7.5-10</c:v>
                </c:pt>
                <c:pt idx="4">
                  <c:v>10-12.5</c:v>
                </c:pt>
                <c:pt idx="5">
                  <c:v>12.5-15</c:v>
                </c:pt>
                <c:pt idx="6">
                  <c:v>15-17.5</c:v>
                </c:pt>
                <c:pt idx="7">
                  <c:v>17.5-20</c:v>
                </c:pt>
                <c:pt idx="8">
                  <c:v>20-22.5</c:v>
                </c:pt>
                <c:pt idx="9">
                  <c:v>22.5-25</c:v>
                </c:pt>
                <c:pt idx="10">
                  <c:v>25-27.5</c:v>
                </c:pt>
                <c:pt idx="11">
                  <c:v>27.5-30</c:v>
                </c:pt>
                <c:pt idx="12">
                  <c:v>30-32.5</c:v>
                </c:pt>
                <c:pt idx="13">
                  <c:v>32.5-35</c:v>
                </c:pt>
                <c:pt idx="14">
                  <c:v>35-37.5</c:v>
                </c:pt>
                <c:pt idx="15">
                  <c:v>37.5-40</c:v>
                </c:pt>
                <c:pt idx="16">
                  <c:v>40-42.5</c:v>
                </c:pt>
                <c:pt idx="17">
                  <c:v>42.5-45</c:v>
                </c:pt>
                <c:pt idx="18">
                  <c:v>45-47.5</c:v>
                </c:pt>
                <c:pt idx="19">
                  <c:v>47.5-50</c:v>
                </c:pt>
                <c:pt idx="20">
                  <c:v>50-52.5</c:v>
                </c:pt>
                <c:pt idx="21">
                  <c:v>52.5-55</c:v>
                </c:pt>
                <c:pt idx="22">
                  <c:v>55-57.5</c:v>
                </c:pt>
                <c:pt idx="23">
                  <c:v>57.5-60</c:v>
                </c:pt>
                <c:pt idx="24">
                  <c:v>60-62.5</c:v>
                </c:pt>
                <c:pt idx="25">
                  <c:v>62.5-65</c:v>
                </c:pt>
                <c:pt idx="26">
                  <c:v>&gt;65</c:v>
                </c:pt>
              </c:strCache>
            </c:strRef>
          </c:cat>
          <c:val>
            <c:numRef>
              <c:f>Basalt!$L$9:$L$35</c:f>
              <c:numCache>
                <c:formatCode>0</c:formatCode>
                <c:ptCount val="27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7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</c:v>
                </c:pt>
                <c:pt idx="19">
                  <c:v>0</c:v>
                </c:pt>
                <c:pt idx="20">
                  <c:v>3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82102736"/>
        <c:axId val="-682094576"/>
      </c:barChart>
      <c:catAx>
        <c:axId val="-68210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1200"/>
                  <a:t>Susceptibility 10</a:t>
                </a:r>
                <a:r>
                  <a:rPr lang="en-AU" sz="1200" baseline="30000"/>
                  <a:t>-3</a:t>
                </a:r>
                <a:r>
                  <a:rPr lang="en-AU" sz="1200"/>
                  <a:t> SI Units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AU"/>
              </a:p>
            </c:rich>
          </c:tx>
          <c:layout>
            <c:manualLayout>
              <c:xMode val="edge"/>
              <c:yMode val="edge"/>
              <c:x val="0.29515376202974714"/>
              <c:y val="0.8649029481779894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-682094576"/>
        <c:crosses val="autoZero"/>
        <c:auto val="1"/>
        <c:lblAlgn val="ctr"/>
        <c:lblOffset val="100"/>
        <c:noMultiLvlLbl val="0"/>
      </c:catAx>
      <c:valAx>
        <c:axId val="-682094576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-682102736"/>
        <c:crosses val="autoZero"/>
        <c:crossBetween val="between"/>
        <c:majorUnit val="2"/>
        <c:minorUnit val="0.2"/>
      </c:valAx>
      <c:spPr>
        <a:solidFill>
          <a:srgbClr val="EEECE1"/>
        </a:solidFill>
      </c:spPr>
    </c:plotArea>
    <c:legend>
      <c:legendPos val="r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gradFill>
      <a:gsLst>
        <a:gs pos="0">
          <a:srgbClr val="9AB5E4"/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AU" sz="1600"/>
              <a:t>City of Melbourne Bay</a:t>
            </a:r>
          </a:p>
          <a:p>
            <a:pPr>
              <a:defRPr/>
            </a:pPr>
            <a:r>
              <a:rPr lang="en-AU" sz="2000"/>
              <a:t>Picritic Basalt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Log10 Sus</c:v>
          </c:tx>
          <c:spPr>
            <a:solidFill>
              <a:srgbClr val="C0504D"/>
            </a:solidFill>
          </c:spPr>
          <c:invertIfNegative val="0"/>
          <c:val>
            <c:numRef>
              <c:f>Basalt!$X$9:$X$52</c:f>
              <c:numCache>
                <c:formatCode>General</c:formatCode>
                <c:ptCount val="44"/>
                <c:pt idx="0">
                  <c:v>0.15836249209524964</c:v>
                </c:pt>
                <c:pt idx="1">
                  <c:v>0.21748394421390627</c:v>
                </c:pt>
                <c:pt idx="2">
                  <c:v>0.5976951859255123</c:v>
                </c:pt>
                <c:pt idx="3">
                  <c:v>0.87563993700416842</c:v>
                </c:pt>
                <c:pt idx="4">
                  <c:v>1.1846914308175989</c:v>
                </c:pt>
                <c:pt idx="5">
                  <c:v>1.2966651902615312</c:v>
                </c:pt>
                <c:pt idx="6">
                  <c:v>1.3364597338485296</c:v>
                </c:pt>
                <c:pt idx="7">
                  <c:v>1.414973347970818</c:v>
                </c:pt>
                <c:pt idx="8">
                  <c:v>1.4440447959180762</c:v>
                </c:pt>
                <c:pt idx="9">
                  <c:v>1.4440447959180762</c:v>
                </c:pt>
                <c:pt idx="10">
                  <c:v>1.4756711883244296</c:v>
                </c:pt>
                <c:pt idx="11">
                  <c:v>1.4857214264815801</c:v>
                </c:pt>
                <c:pt idx="12">
                  <c:v>1.4871383754771865</c:v>
                </c:pt>
                <c:pt idx="13">
                  <c:v>1.4996870826184039</c:v>
                </c:pt>
                <c:pt idx="14">
                  <c:v>1.510545010206612</c:v>
                </c:pt>
                <c:pt idx="15">
                  <c:v>1.5185139398778875</c:v>
                </c:pt>
                <c:pt idx="16">
                  <c:v>1.5224442335063197</c:v>
                </c:pt>
                <c:pt idx="17">
                  <c:v>1.5263392773898441</c:v>
                </c:pt>
                <c:pt idx="18">
                  <c:v>1.5276299008713388</c:v>
                </c:pt>
                <c:pt idx="19">
                  <c:v>1.5301996982030821</c:v>
                </c:pt>
                <c:pt idx="20">
                  <c:v>1.5378190950732742</c:v>
                </c:pt>
                <c:pt idx="21">
                  <c:v>1.5453071164658241</c:v>
                </c:pt>
                <c:pt idx="22">
                  <c:v>1.546542663478131</c:v>
                </c:pt>
                <c:pt idx="23">
                  <c:v>1.5550944485783191</c:v>
                </c:pt>
                <c:pt idx="24">
                  <c:v>1.5740312677277188</c:v>
                </c:pt>
                <c:pt idx="25">
                  <c:v>1.5987905067631152</c:v>
                </c:pt>
                <c:pt idx="26">
                  <c:v>1.6042260530844701</c:v>
                </c:pt>
                <c:pt idx="27">
                  <c:v>1.6263403673750423</c:v>
                </c:pt>
                <c:pt idx="28">
                  <c:v>1.6304278750250238</c:v>
                </c:pt>
                <c:pt idx="29">
                  <c:v>1.6444385894678386</c:v>
                </c:pt>
                <c:pt idx="30">
                  <c:v>1.6473829701146199</c:v>
                </c:pt>
                <c:pt idx="31">
                  <c:v>1.6551384348113822</c:v>
                </c:pt>
                <c:pt idx="32">
                  <c:v>1.6785183790401139</c:v>
                </c:pt>
                <c:pt idx="33">
                  <c:v>1.7193312869837267</c:v>
                </c:pt>
                <c:pt idx="34">
                  <c:v>1.7226339225338123</c:v>
                </c:pt>
                <c:pt idx="35">
                  <c:v>1.7259116322950483</c:v>
                </c:pt>
                <c:pt idx="36">
                  <c:v>1.7339992865383869</c:v>
                </c:pt>
                <c:pt idx="37">
                  <c:v>1.7520484478194385</c:v>
                </c:pt>
                <c:pt idx="38">
                  <c:v>1.7596678446896306</c:v>
                </c:pt>
                <c:pt idx="39">
                  <c:v>1.7634279935629373</c:v>
                </c:pt>
                <c:pt idx="40">
                  <c:v>1.7881683711411678</c:v>
                </c:pt>
                <c:pt idx="41">
                  <c:v>1.8182258936139555</c:v>
                </c:pt>
                <c:pt idx="42">
                  <c:v>1.8331471119127851</c:v>
                </c:pt>
                <c:pt idx="43">
                  <c:v>1.8481891169913987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82090224"/>
        <c:axId val="-682096208"/>
      </c:barChart>
      <c:catAx>
        <c:axId val="-68209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overlay val="0"/>
        </c:title>
        <c:majorTickMark val="none"/>
        <c:minorTickMark val="none"/>
        <c:tickLblPos val="nextTo"/>
        <c:crossAx val="-682096208"/>
        <c:crosses val="autoZero"/>
        <c:auto val="1"/>
        <c:lblAlgn val="ctr"/>
        <c:lblOffset val="100"/>
        <c:tickLblSkip val="4"/>
        <c:noMultiLvlLbl val="0"/>
      </c:catAx>
      <c:valAx>
        <c:axId val="-682096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</a:t>
                </a:r>
                <a:r>
                  <a:rPr lang="en-US" baseline="-25000"/>
                  <a:t>10</a:t>
                </a:r>
                <a:r>
                  <a:rPr lang="en-US"/>
                  <a:t>  Sus SI Units x 10</a:t>
                </a:r>
                <a:r>
                  <a:rPr lang="en-US" baseline="30000"/>
                  <a:t>-3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682090224"/>
        <c:crosses val="autoZero"/>
        <c:crossBetween val="between"/>
        <c:majorUnit val="0.4"/>
        <c:minorUnit val="4.0000000000000022E-2"/>
      </c:valAx>
      <c:spPr>
        <a:solidFill>
          <a:srgbClr val="EEECE1"/>
        </a:solidFill>
      </c:spPr>
    </c:plotArea>
    <c:legend>
      <c:legendPos val="r"/>
      <c:overlay val="0"/>
    </c:legend>
    <c:plotVisOnly val="1"/>
    <c:dispBlanksAs val="gap"/>
    <c:showDLblsOverMax val="0"/>
  </c:chart>
  <c:spPr>
    <a:gradFill>
      <a:gsLst>
        <a:gs pos="0">
          <a:srgbClr val="95B1E3"/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Ettrick Bay Amphibolite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Ettrick Bay Amphibolite</c:v>
          </c:tx>
          <c:invertIfNegative val="0"/>
          <c:cat>
            <c:strRef>
              <c:f>Amphibolite!$G$10:$G$20</c:f>
              <c:strCache>
                <c:ptCount val="11"/>
                <c:pt idx="0">
                  <c:v>W Cape Wickham</c:v>
                </c:pt>
                <c:pt idx="2">
                  <c:v>1.50</c:v>
                </c:pt>
                <c:pt idx="3">
                  <c:v>0.72</c:v>
                </c:pt>
                <c:pt idx="4">
                  <c:v>0.82</c:v>
                </c:pt>
                <c:pt idx="5">
                  <c:v>0.63</c:v>
                </c:pt>
                <c:pt idx="6">
                  <c:v>0.63</c:v>
                </c:pt>
                <c:pt idx="7">
                  <c:v>0.7</c:v>
                </c:pt>
                <c:pt idx="8">
                  <c:v>0.69</c:v>
                </c:pt>
                <c:pt idx="9">
                  <c:v>0.64</c:v>
                </c:pt>
                <c:pt idx="10">
                  <c:v>0.59</c:v>
                </c:pt>
              </c:strCache>
            </c:strRef>
          </c:cat>
          <c:val>
            <c:numRef>
              <c:f>Amphibolite!$H$10:$H$20</c:f>
              <c:numCache>
                <c:formatCode>General</c:formatCode>
                <c:ptCount val="11"/>
                <c:pt idx="0">
                  <c:v>0</c:v>
                </c:pt>
                <c:pt idx="2" formatCode="0.00">
                  <c:v>0.79</c:v>
                </c:pt>
                <c:pt idx="3" formatCode="0.00">
                  <c:v>0.87</c:v>
                </c:pt>
                <c:pt idx="4" formatCode="0.00">
                  <c:v>0.93</c:v>
                </c:pt>
                <c:pt idx="5" formatCode="0.00">
                  <c:v>0.82</c:v>
                </c:pt>
                <c:pt idx="6" formatCode="0.00">
                  <c:v>0.87</c:v>
                </c:pt>
                <c:pt idx="7" formatCode="0.00">
                  <c:v>0.79</c:v>
                </c:pt>
                <c:pt idx="8" formatCode="0.00">
                  <c:v>0.68</c:v>
                </c:pt>
                <c:pt idx="9" formatCode="0.00">
                  <c:v>1.07</c:v>
                </c:pt>
                <c:pt idx="10" formatCode="0.00">
                  <c:v>1.01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82093488"/>
        <c:axId val="-682101648"/>
      </c:barChart>
      <c:catAx>
        <c:axId val="-68209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 x </a:t>
                </a:r>
                <a:r>
                  <a:rPr lang="en-AU" sz="1000" b="1" i="0" u="none" strike="noStrike" baseline="0"/>
                  <a:t>10</a:t>
                </a:r>
                <a:r>
                  <a:rPr lang="en-AU" sz="1000" b="1" i="0" u="none" strike="noStrike" baseline="30000"/>
                  <a:t>-3</a:t>
                </a:r>
                <a:r>
                  <a:rPr lang="en-AU" sz="1000" b="1" i="0" u="none" strike="noStrike" baseline="0"/>
                  <a:t> </a:t>
                </a:r>
                <a:r>
                  <a:rPr lang="en-US"/>
                  <a:t>SI units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682101648"/>
        <c:crosses val="autoZero"/>
        <c:auto val="1"/>
        <c:lblAlgn val="ctr"/>
        <c:lblOffset val="100"/>
        <c:noMultiLvlLbl val="0"/>
      </c:catAx>
      <c:valAx>
        <c:axId val="-6821016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682093488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Susceptibilities, </a:t>
            </a:r>
          </a:p>
          <a:p>
            <a:pPr>
              <a:defRPr/>
            </a:pPr>
            <a:r>
              <a:rPr lang="en-US"/>
              <a:t>Cape Wickham Granite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Cape Wickham Granite</c:v>
          </c:tx>
          <c:spPr>
            <a:solidFill>
              <a:schemeClr val="accent2"/>
            </a:solidFill>
          </c:spPr>
          <c:invertIfNegative val="0"/>
          <c:cat>
            <c:strRef>
              <c:f>Granite!$L$11:$L$21</c:f>
              <c:strCache>
                <c:ptCount val="11"/>
                <c:pt idx="0">
                  <c:v>&lt;0.02</c:v>
                </c:pt>
                <c:pt idx="1">
                  <c:v>0.02-0.04</c:v>
                </c:pt>
                <c:pt idx="2">
                  <c:v>0.04-0.06</c:v>
                </c:pt>
                <c:pt idx="3">
                  <c:v>0.06-0.08</c:v>
                </c:pt>
                <c:pt idx="4">
                  <c:v>0.08-0.10</c:v>
                </c:pt>
                <c:pt idx="5">
                  <c:v>0.10-0.12</c:v>
                </c:pt>
                <c:pt idx="6">
                  <c:v>0.012-0.14</c:v>
                </c:pt>
                <c:pt idx="7">
                  <c:v>0.14-0.16</c:v>
                </c:pt>
                <c:pt idx="8">
                  <c:v>0.16-0.18</c:v>
                </c:pt>
                <c:pt idx="9">
                  <c:v>0.18-0.20</c:v>
                </c:pt>
                <c:pt idx="10">
                  <c:v>0.20-0.22</c:v>
                </c:pt>
              </c:strCache>
            </c:strRef>
          </c:cat>
          <c:val>
            <c:numRef>
              <c:f>Granite!$M$11:$M$21</c:f>
              <c:numCache>
                <c:formatCode>0</c:formatCode>
                <c:ptCount val="11"/>
                <c:pt idx="0">
                  <c:v>0</c:v>
                </c:pt>
                <c:pt idx="1">
                  <c:v>6</c:v>
                </c:pt>
                <c:pt idx="2">
                  <c:v>9</c:v>
                </c:pt>
                <c:pt idx="3">
                  <c:v>4</c:v>
                </c:pt>
                <c:pt idx="4">
                  <c:v>11</c:v>
                </c:pt>
                <c:pt idx="5">
                  <c:v>1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82098384"/>
        <c:axId val="-682104912"/>
      </c:barChart>
      <c:catAx>
        <c:axId val="-68209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Susceptibility x 10</a:t>
                </a:r>
                <a:r>
                  <a:rPr lang="en-AU" baseline="30000"/>
                  <a:t>-3</a:t>
                </a:r>
                <a:r>
                  <a:rPr lang="en-AU"/>
                  <a:t> SI 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-682104912"/>
        <c:crosses val="autoZero"/>
        <c:auto val="1"/>
        <c:lblAlgn val="ctr"/>
        <c:lblOffset val="100"/>
        <c:noMultiLvlLbl val="0"/>
      </c:catAx>
      <c:valAx>
        <c:axId val="-682104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-682098384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241300</xdr:colOff>
      <xdr:row>8</xdr:row>
      <xdr:rowOff>19050</xdr:rowOff>
    </xdr:from>
    <xdr:to>
      <xdr:col>19</xdr:col>
      <xdr:colOff>546100</xdr:colOff>
      <xdr:row>25</xdr:row>
      <xdr:rowOff>165100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254000</xdr:colOff>
      <xdr:row>28</xdr:row>
      <xdr:rowOff>69850</xdr:rowOff>
    </xdr:from>
    <xdr:to>
      <xdr:col>20</xdr:col>
      <xdr:colOff>241300</xdr:colOff>
      <xdr:row>45</xdr:row>
      <xdr:rowOff>120650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11</xdr:row>
      <xdr:rowOff>0</xdr:rowOff>
    </xdr:from>
    <xdr:to>
      <xdr:col>25</xdr:col>
      <xdr:colOff>69850</xdr:colOff>
      <xdr:row>29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266700</xdr:colOff>
      <xdr:row>8</xdr:row>
      <xdr:rowOff>107950</xdr:rowOff>
    </xdr:from>
    <xdr:to>
      <xdr:col>21</xdr:col>
      <xdr:colOff>355600</xdr:colOff>
      <xdr:row>25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workbookViewId="0">
      <pane ySplit="1" topLeftCell="A2" activePane="bottomLeft" state="frozen"/>
      <selection pane="bottomLeft" activeCell="K40" sqref="K40"/>
    </sheetView>
  </sheetViews>
  <sheetFormatPr defaultRowHeight="14.25" x14ac:dyDescent="0.45"/>
  <cols>
    <col min="1" max="1" width="20" customWidth="1"/>
    <col min="2" max="2" width="9.6640625" style="17" customWidth="1"/>
    <col min="3" max="3" width="16.86328125" customWidth="1"/>
    <col min="4" max="4" width="10.86328125" customWidth="1"/>
    <col min="5" max="5" width="12.6640625" customWidth="1"/>
    <col min="6" max="6" width="27.46484375" customWidth="1"/>
    <col min="7" max="7" width="10.19921875" customWidth="1"/>
    <col min="8" max="8" width="11" customWidth="1"/>
    <col min="9" max="9" width="9.53125" customWidth="1"/>
    <col min="10" max="10" width="9.6640625" customWidth="1"/>
    <col min="11" max="11" width="8.86328125" style="17"/>
    <col min="12" max="12" width="9.19921875" style="17" bestFit="1" customWidth="1"/>
  </cols>
  <sheetData>
    <row r="1" spans="1:17" s="45" customFormat="1" ht="13.15" x14ac:dyDescent="0.4">
      <c r="A1" s="44" t="s">
        <v>140</v>
      </c>
      <c r="B1" s="47" t="s">
        <v>164</v>
      </c>
      <c r="C1" s="44" t="s">
        <v>168</v>
      </c>
      <c r="D1" s="47" t="s">
        <v>141</v>
      </c>
      <c r="E1" s="47" t="s">
        <v>142</v>
      </c>
      <c r="F1" s="45" t="s">
        <v>143</v>
      </c>
      <c r="G1" s="46" t="s">
        <v>144</v>
      </c>
      <c r="H1" s="45" t="s">
        <v>145</v>
      </c>
      <c r="I1" s="45" t="s">
        <v>147</v>
      </c>
      <c r="J1" s="45" t="s">
        <v>146</v>
      </c>
      <c r="K1" s="47" t="s">
        <v>148</v>
      </c>
      <c r="L1" s="48" t="s">
        <v>149</v>
      </c>
      <c r="M1" s="133" t="s">
        <v>150</v>
      </c>
      <c r="N1" s="133"/>
      <c r="Q1" s="47"/>
    </row>
    <row r="2" spans="1:17" s="49" customFormat="1" x14ac:dyDescent="0.45">
      <c r="A2" s="49" t="s">
        <v>151</v>
      </c>
      <c r="B2" s="62">
        <v>54</v>
      </c>
      <c r="C2" s="49" t="s">
        <v>15</v>
      </c>
      <c r="D2" s="49">
        <f>'Sprise Bay Metaseds'!B8</f>
        <v>742364</v>
      </c>
      <c r="E2" s="49">
        <f>'Sprise Bay Metaseds'!B9</f>
        <v>5576999</v>
      </c>
      <c r="F2" s="49" t="s">
        <v>155</v>
      </c>
      <c r="G2" s="50">
        <f>'Sprise Bay Metaseds'!B56</f>
        <v>0.1167441860465117</v>
      </c>
      <c r="H2" s="50">
        <f>'Sprise Bay Metaseds'!B57</f>
        <v>0.1</v>
      </c>
      <c r="I2" s="50">
        <f>'Sprise Bay Metaseds'!B58</f>
        <v>0.05</v>
      </c>
      <c r="J2" s="50">
        <f>'Sprise Bay Metaseds'!B59</f>
        <v>0.24</v>
      </c>
      <c r="K2" s="52">
        <f>'Sprise Bay Metaseds'!B60</f>
        <v>43</v>
      </c>
      <c r="L2" s="54" t="s">
        <v>156</v>
      </c>
      <c r="M2" s="49" t="s">
        <v>189</v>
      </c>
      <c r="O2" s="49" t="s">
        <v>159</v>
      </c>
    </row>
    <row r="3" spans="1:17" s="49" customFormat="1" x14ac:dyDescent="0.45">
      <c r="B3" s="62">
        <v>54</v>
      </c>
      <c r="C3" s="49" t="s">
        <v>15</v>
      </c>
      <c r="D3" s="117">
        <f>'Sprise Bay Metaseds'!K8</f>
        <v>742623</v>
      </c>
      <c r="E3" s="117">
        <f>'Sprise Bay Metaseds'!K9</f>
        <v>5576972</v>
      </c>
      <c r="F3" s="49" t="s">
        <v>155</v>
      </c>
      <c r="G3" s="50">
        <f>'Sprise Bay Metaseds'!K56</f>
        <v>0.19368421052631585</v>
      </c>
      <c r="H3" s="50">
        <f>'Sprise Bay Metaseds'!K57</f>
        <v>0.19</v>
      </c>
      <c r="I3" s="50">
        <f>'Sprise Bay Metaseds'!K58</f>
        <v>0.09</v>
      </c>
      <c r="J3" s="50">
        <f>'Sprise Bay Metaseds'!K59</f>
        <v>0.4</v>
      </c>
      <c r="K3" s="52">
        <f>'Sprise Bay Metaseds'!K60</f>
        <v>38</v>
      </c>
      <c r="L3" s="54"/>
    </row>
    <row r="4" spans="1:17" s="80" customFormat="1" ht="15.75" x14ac:dyDescent="0.5">
      <c r="B4" s="81"/>
      <c r="D4" s="118"/>
      <c r="E4" s="118"/>
      <c r="F4" s="80" t="s">
        <v>155</v>
      </c>
      <c r="G4" s="82">
        <f>SUM(G2*K2+G3*K3)/SUM(K2+K3)</f>
        <v>0.15283950617283959</v>
      </c>
      <c r="H4" s="82">
        <f>MEDIAN('Sprise Bay Metaseds'!B11:B53,'Sprise Bay Metaseds'!K11:K48)</f>
        <v>0.14000000000000001</v>
      </c>
      <c r="I4" s="82">
        <v>0.05</v>
      </c>
      <c r="J4" s="82">
        <v>0.4</v>
      </c>
      <c r="K4" s="83">
        <f>SUM(K2+K3)</f>
        <v>81</v>
      </c>
      <c r="L4" s="84"/>
    </row>
    <row r="5" spans="1:17" s="49" customFormat="1" x14ac:dyDescent="0.45">
      <c r="B5" s="62">
        <v>54</v>
      </c>
      <c r="C5" s="49" t="s">
        <v>169</v>
      </c>
      <c r="D5" s="49">
        <f>'Sprise Bay Metaseds'!C8</f>
        <v>752408</v>
      </c>
      <c r="E5" s="49">
        <f>'Sprise Bay Metaseds'!C9</f>
        <v>5613883</v>
      </c>
      <c r="F5" s="49" t="s">
        <v>157</v>
      </c>
      <c r="G5" s="50">
        <f>'Sprise Bay Metaseds'!C56</f>
        <v>0.23550000000000004</v>
      </c>
      <c r="H5" s="50">
        <f>'Sprise Bay Metaseds'!C57</f>
        <v>0.19</v>
      </c>
      <c r="I5" s="50">
        <f>'Sprise Bay Metaseds'!C58</f>
        <v>0.08</v>
      </c>
      <c r="J5" s="50">
        <f>'Sprise Bay Metaseds'!C59</f>
        <v>0.8</v>
      </c>
      <c r="K5" s="52">
        <v>20</v>
      </c>
      <c r="L5" s="54" t="s">
        <v>158</v>
      </c>
    </row>
    <row r="6" spans="1:17" s="49" customFormat="1" x14ac:dyDescent="0.45">
      <c r="B6" s="62">
        <v>54</v>
      </c>
      <c r="C6" s="49" t="s">
        <v>56</v>
      </c>
      <c r="D6" s="51">
        <f>'Sprise Bay Metaseds'!I16</f>
        <v>752386</v>
      </c>
      <c r="E6" s="51">
        <f>'Sprise Bay Metaseds'!I17</f>
        <v>5613857</v>
      </c>
      <c r="F6" s="49" t="s">
        <v>157</v>
      </c>
      <c r="G6" s="50">
        <f>'Sprise Bay Metaseds'!H56</f>
        <v>0.29769230769230764</v>
      </c>
      <c r="H6" s="50">
        <f>'Sprise Bay Metaseds'!H57</f>
        <v>0.19</v>
      </c>
      <c r="I6" s="50">
        <f>'Sprise Bay Metaseds'!H58</f>
        <v>0.05</v>
      </c>
      <c r="J6" s="50">
        <f>'Sprise Bay Metaseds'!H59</f>
        <v>1.41</v>
      </c>
      <c r="K6" s="52">
        <f>'Sprise Bay Metaseds'!H60</f>
        <v>26</v>
      </c>
      <c r="L6" s="54" t="s">
        <v>160</v>
      </c>
      <c r="M6" s="49" t="s">
        <v>196</v>
      </c>
    </row>
    <row r="7" spans="1:17" s="49" customFormat="1" x14ac:dyDescent="0.45">
      <c r="B7" s="62"/>
      <c r="C7" s="49" t="s">
        <v>56</v>
      </c>
      <c r="D7" s="51">
        <f>'Sprise Bay Metaseds'!M8</f>
        <v>748861</v>
      </c>
      <c r="E7" s="51">
        <f>'Sprise Bay Metaseds'!M9</f>
        <v>5550992</v>
      </c>
      <c r="F7" s="49" t="s">
        <v>157</v>
      </c>
      <c r="G7" s="50">
        <f>'Sprise Bay Metaseds'!M56</f>
        <v>0.13750000000000001</v>
      </c>
      <c r="H7" s="50">
        <f>'Sprise Bay Metaseds'!M57</f>
        <v>0.15</v>
      </c>
      <c r="I7" s="50">
        <f>'Sprise Bay Metaseds'!M58</f>
        <v>0.05</v>
      </c>
      <c r="J7" s="50">
        <f>'Sprise Bay Metaseds'!M59</f>
        <v>0.22</v>
      </c>
      <c r="K7" s="52">
        <f>'Sprise Bay Metaseds'!M60</f>
        <v>16</v>
      </c>
      <c r="L7" s="54"/>
    </row>
    <row r="8" spans="1:17" s="49" customFormat="1" x14ac:dyDescent="0.45">
      <c r="B8" s="62"/>
      <c r="C8" s="49" t="s">
        <v>56</v>
      </c>
      <c r="D8" s="51">
        <f>'Sprise Bay Metaseds'!N8</f>
        <v>749465</v>
      </c>
      <c r="E8" s="51">
        <f>'Sprise Bay Metaseds'!N9</f>
        <v>5550319</v>
      </c>
      <c r="F8" s="49" t="s">
        <v>157</v>
      </c>
      <c r="G8" s="50">
        <f>'Sprise Bay Metaseds'!N56</f>
        <v>0.21411764705882355</v>
      </c>
      <c r="H8" s="50">
        <f>'Sprise Bay Metaseds'!N57</f>
        <v>0.2</v>
      </c>
      <c r="I8" s="50">
        <f>'Sprise Bay Metaseds'!N58</f>
        <v>0.08</v>
      </c>
      <c r="J8" s="50">
        <f>'Sprise Bay Metaseds'!N59</f>
        <v>0.35</v>
      </c>
      <c r="K8" s="52">
        <f>'Sprise Bay Metaseds'!N60</f>
        <v>17</v>
      </c>
      <c r="L8" s="54"/>
    </row>
    <row r="9" spans="1:17" s="49" customFormat="1" x14ac:dyDescent="0.45">
      <c r="B9" s="62">
        <v>54</v>
      </c>
      <c r="C9" s="49" t="s">
        <v>72</v>
      </c>
      <c r="D9" s="49">
        <f>'Sprise Bay Metaseds'!D8</f>
        <v>749075</v>
      </c>
      <c r="E9" s="49">
        <f>'Sprise Bay Metaseds'!D9</f>
        <v>5550276</v>
      </c>
      <c r="F9" s="49" t="s">
        <v>157</v>
      </c>
      <c r="G9" s="50">
        <f>'Sprise Bay Metaseds'!D56</f>
        <v>0.22117647058823534</v>
      </c>
      <c r="H9" s="50">
        <f>'Sprise Bay Metaseds'!D57</f>
        <v>0.21</v>
      </c>
      <c r="I9" s="50">
        <f>'Sprise Bay Metaseds'!D58</f>
        <v>0.1</v>
      </c>
      <c r="J9" s="50">
        <f>'Sprise Bay Metaseds'!D59</f>
        <v>0.39</v>
      </c>
      <c r="K9" s="52">
        <f>'Sprise Bay Metaseds'!D60</f>
        <v>34</v>
      </c>
      <c r="L9" s="54" t="s">
        <v>160</v>
      </c>
    </row>
    <row r="10" spans="1:17" s="49" customFormat="1" x14ac:dyDescent="0.45">
      <c r="B10" s="62">
        <v>54</v>
      </c>
      <c r="C10" s="49" t="s">
        <v>169</v>
      </c>
      <c r="D10" s="49">
        <f>'Sprise Bay Metaseds'!F8</f>
        <v>746412</v>
      </c>
      <c r="E10" s="49">
        <f>'Sprise Bay Metaseds'!F9</f>
        <v>5569053</v>
      </c>
      <c r="F10" s="49" t="s">
        <v>157</v>
      </c>
      <c r="G10" s="50">
        <f>'Sprise Bay Metaseds'!F56</f>
        <v>0.14958333333333335</v>
      </c>
      <c r="H10" s="50">
        <f>'Sprise Bay Metaseds'!F57</f>
        <v>0.15</v>
      </c>
      <c r="I10" s="50">
        <f>'Sprise Bay Metaseds'!F58</f>
        <v>7.0000000000000007E-2</v>
      </c>
      <c r="J10" s="50">
        <f>'Sprise Bay Metaseds'!F59</f>
        <v>0.25</v>
      </c>
      <c r="K10" s="52">
        <f>'Sprise Bay Metaseds'!F60</f>
        <v>24</v>
      </c>
      <c r="L10" s="54" t="s">
        <v>161</v>
      </c>
    </row>
    <row r="11" spans="1:17" s="80" customFormat="1" ht="15.75" x14ac:dyDescent="0.5">
      <c r="B11" s="81"/>
      <c r="F11" s="80" t="s">
        <v>157</v>
      </c>
      <c r="G11" s="82">
        <f>(G5*K5+G6*K6+G9*K9+G10*K10)/SUM(K5:K10)</f>
        <v>0.17197080291970801</v>
      </c>
      <c r="H11" s="82">
        <f>MEDIAN('Sprise Bay Metaseds'!C11:C30,'Sprise Bay Metaseds'!D11:D44,'Sprise Bay Metaseds'!M11:M26,'Sprise Bay Metaseds'!N11:N27,'Sprise Bay Metaseds'!F11:F34,'Sprise Bay Metaseds'!H11:H36)</f>
        <v>0.18</v>
      </c>
      <c r="I11" s="82">
        <f>SMALL(I5:I10,1)</f>
        <v>0.05</v>
      </c>
      <c r="J11" s="82">
        <f>SMALL(J5:J10,6)</f>
        <v>1.41</v>
      </c>
      <c r="K11" s="83">
        <f>SUM(K5:K10)</f>
        <v>137</v>
      </c>
      <c r="L11" s="84"/>
    </row>
    <row r="12" spans="1:17" s="123" customFormat="1" ht="15.75" x14ac:dyDescent="0.5">
      <c r="A12" s="123" t="s">
        <v>218</v>
      </c>
      <c r="B12" s="124"/>
      <c r="G12" s="125">
        <f>(G4*K4+G11*K11)/(K4+K11)</f>
        <v>0.16486238532110095</v>
      </c>
      <c r="H12" s="125"/>
      <c r="I12" s="125">
        <v>0.05</v>
      </c>
      <c r="J12" s="125">
        <v>1.41</v>
      </c>
      <c r="K12" s="126">
        <f>K4+K11</f>
        <v>218</v>
      </c>
      <c r="L12" s="127"/>
    </row>
    <row r="13" spans="1:17" x14ac:dyDescent="0.45">
      <c r="A13" t="s">
        <v>152</v>
      </c>
      <c r="I13">
        <v>0.03</v>
      </c>
      <c r="J13">
        <v>0.21</v>
      </c>
      <c r="K13" s="53">
        <v>5</v>
      </c>
      <c r="L13" s="55"/>
    </row>
    <row r="14" spans="1:17" s="56" customFormat="1" x14ac:dyDescent="0.45">
      <c r="A14" s="56" t="s">
        <v>165</v>
      </c>
      <c r="B14" s="63">
        <v>54</v>
      </c>
      <c r="C14" s="56" t="s">
        <v>15</v>
      </c>
      <c r="D14" s="56">
        <f>Basalt!B8</f>
        <v>742735</v>
      </c>
      <c r="E14" s="56">
        <f>Basalt!B9</f>
        <v>5576969</v>
      </c>
      <c r="F14" s="56" t="s">
        <v>215</v>
      </c>
      <c r="G14" s="57">
        <f>Basalt!B42</f>
        <v>0.82583333333333309</v>
      </c>
      <c r="H14" s="57">
        <f>Basalt!B43</f>
        <v>0.87</v>
      </c>
      <c r="I14" s="57">
        <f>Basalt!B44</f>
        <v>0.37</v>
      </c>
      <c r="J14" s="57">
        <f>Basalt!B45</f>
        <v>1.5</v>
      </c>
      <c r="K14" s="65">
        <f>Basalt!B46</f>
        <v>24</v>
      </c>
      <c r="L14" s="58" t="s">
        <v>156</v>
      </c>
      <c r="M14" s="56" t="s">
        <v>188</v>
      </c>
    </row>
    <row r="15" spans="1:17" s="56" customFormat="1" x14ac:dyDescent="0.45">
      <c r="B15" s="63"/>
      <c r="C15" s="56" t="s">
        <v>15</v>
      </c>
      <c r="D15" s="56">
        <f>Basalt!G8</f>
        <v>742525</v>
      </c>
      <c r="E15" s="56">
        <f>Basalt!G9</f>
        <v>5576933</v>
      </c>
      <c r="F15" s="56" t="s">
        <v>215</v>
      </c>
      <c r="G15" s="57">
        <f>Basalt!G42</f>
        <v>0.57799999999999996</v>
      </c>
      <c r="H15" s="57">
        <f>Basalt!G44</f>
        <v>0.15</v>
      </c>
      <c r="I15" s="57">
        <f>Basalt!G44</f>
        <v>0.15</v>
      </c>
      <c r="J15" s="57">
        <f>Basalt!G45</f>
        <v>0.84</v>
      </c>
      <c r="K15" s="65">
        <f>Basalt!G46</f>
        <v>15</v>
      </c>
      <c r="L15" s="58"/>
    </row>
    <row r="16" spans="1:17" s="56" customFormat="1" x14ac:dyDescent="0.45">
      <c r="B16" s="63"/>
      <c r="C16" s="56" t="s">
        <v>212</v>
      </c>
      <c r="D16" s="56">
        <f>Basalt!I8</f>
        <v>744234</v>
      </c>
      <c r="E16" s="56">
        <f>Basalt!I9</f>
        <v>5584896</v>
      </c>
      <c r="F16" s="122" t="s">
        <v>216</v>
      </c>
      <c r="G16" s="57">
        <f>Basalt!I46</f>
        <v>0.83687499999999992</v>
      </c>
      <c r="H16" s="57">
        <f>Basalt!I47</f>
        <v>0.84</v>
      </c>
      <c r="I16" s="57">
        <f>Basalt!I48</f>
        <v>0.56999999999999995</v>
      </c>
      <c r="J16" s="57">
        <f>Basalt!I49</f>
        <v>1.1399999999999999</v>
      </c>
      <c r="K16" s="65">
        <f>Basalt!I50</f>
        <v>32</v>
      </c>
      <c r="L16" s="58"/>
    </row>
    <row r="17" spans="1:13" s="56" customFormat="1" x14ac:dyDescent="0.45">
      <c r="B17" s="63"/>
      <c r="C17" s="56" t="s">
        <v>33</v>
      </c>
      <c r="F17" s="56" t="s">
        <v>217</v>
      </c>
      <c r="G17" s="57">
        <f>Basalt!F42</f>
        <v>0.45199999999999996</v>
      </c>
      <c r="H17" s="57">
        <f>Basalt!F43</f>
        <v>0.46499999999999997</v>
      </c>
      <c r="I17" s="57">
        <f>Basalt!F44</f>
        <v>0.38</v>
      </c>
      <c r="J17" s="57">
        <f>Basalt!F45</f>
        <v>0.51</v>
      </c>
      <c r="K17" s="65">
        <f>Basalt!F46</f>
        <v>10</v>
      </c>
      <c r="L17" s="58"/>
      <c r="M17" s="56" t="s">
        <v>193</v>
      </c>
    </row>
    <row r="18" spans="1:13" s="76" customFormat="1" ht="15.75" x14ac:dyDescent="0.5">
      <c r="A18" s="76" t="s">
        <v>213</v>
      </c>
      <c r="B18" s="77"/>
      <c r="G18" s="119">
        <f>SUM(G14*K14+G15*K15+G16*K16+G17*K17)/K18</f>
        <v>0.738148148148148</v>
      </c>
      <c r="H18" s="119">
        <f>MEDIAN(Basalt!B13:B36,Basalt!C13:C14,Basalt!F13:F20,Basalt!G13:G27,Basalt!I13:I44)</f>
        <v>0.78</v>
      </c>
      <c r="I18" s="119">
        <v>0.15</v>
      </c>
      <c r="J18" s="119">
        <v>1.5</v>
      </c>
      <c r="K18" s="79">
        <f>SUM(K14:K17)</f>
        <v>81</v>
      </c>
      <c r="L18" s="120"/>
    </row>
    <row r="19" spans="1:13" s="56" customFormat="1" x14ac:dyDescent="0.45">
      <c r="A19" s="56" t="s">
        <v>214</v>
      </c>
      <c r="B19" s="63">
        <v>55</v>
      </c>
      <c r="C19" s="56" t="s">
        <v>33</v>
      </c>
      <c r="D19" s="56">
        <f>Basalt!D8</f>
        <v>253931</v>
      </c>
      <c r="E19" s="56">
        <f>Basalt!D9</f>
        <v>5566935</v>
      </c>
      <c r="F19" s="56" t="s">
        <v>43</v>
      </c>
      <c r="G19" s="57">
        <f>Basalt!D42</f>
        <v>37.410714285714285</v>
      </c>
      <c r="H19" s="57">
        <f>Basalt!D43</f>
        <v>35.299999999999997</v>
      </c>
      <c r="I19" s="57">
        <f>Basalt!D44</f>
        <v>0.44</v>
      </c>
      <c r="J19" s="57">
        <f>Basalt!D45</f>
        <v>69.5</v>
      </c>
      <c r="K19" s="65">
        <f>Basalt!D46</f>
        <v>28</v>
      </c>
      <c r="L19" s="58" t="s">
        <v>166</v>
      </c>
      <c r="M19" s="56" t="s">
        <v>192</v>
      </c>
    </row>
    <row r="20" spans="1:13" s="56" customFormat="1" x14ac:dyDescent="0.45">
      <c r="B20" s="63">
        <v>55</v>
      </c>
      <c r="C20" s="56" t="s">
        <v>33</v>
      </c>
      <c r="D20" s="56">
        <f>Basalt!E8</f>
        <v>253887</v>
      </c>
      <c r="E20" s="56">
        <f>Basalt!E9</f>
        <v>5566594</v>
      </c>
      <c r="F20" s="56" t="s">
        <v>163</v>
      </c>
      <c r="G20" s="57">
        <f>Basalt!E42</f>
        <v>34.941249999999997</v>
      </c>
      <c r="H20" s="57">
        <f>Basalt!E43</f>
        <v>33.400000000000006</v>
      </c>
      <c r="I20" s="57">
        <f>Basalt!E44</f>
        <v>0.65</v>
      </c>
      <c r="J20" s="57">
        <f>Basalt!E45</f>
        <v>67.099999999999994</v>
      </c>
      <c r="K20" s="65">
        <f>Basalt!E46</f>
        <v>16</v>
      </c>
      <c r="L20" s="58" t="s">
        <v>167</v>
      </c>
      <c r="M20" s="56" t="s">
        <v>193</v>
      </c>
    </row>
    <row r="21" spans="1:13" s="76" customFormat="1" ht="15.75" x14ac:dyDescent="0.5">
      <c r="A21" s="76" t="s">
        <v>43</v>
      </c>
      <c r="B21" s="77"/>
      <c r="C21" s="76" t="s">
        <v>33</v>
      </c>
      <c r="F21" s="76" t="s">
        <v>43</v>
      </c>
      <c r="G21" s="78">
        <f>(G19*K19+G20*K20)/(K19+K20)</f>
        <v>36.512727272727268</v>
      </c>
      <c r="H21" s="76">
        <f>MEDIAN(Basalt!D13:D40,Basalt!E13:E28)</f>
        <v>34.150000000000006</v>
      </c>
      <c r="I21" s="76">
        <f>SMALL(I19:I20,1)</f>
        <v>0.44</v>
      </c>
      <c r="J21" s="76">
        <f>SMALL(J19:J20,2)</f>
        <v>69.5</v>
      </c>
      <c r="K21" s="79">
        <f>SUM(K19:K20)</f>
        <v>44</v>
      </c>
      <c r="L21" s="77"/>
    </row>
    <row r="22" spans="1:13" s="59" customFormat="1" x14ac:dyDescent="0.45">
      <c r="A22" s="59" t="s">
        <v>153</v>
      </c>
      <c r="B22" s="64">
        <v>54</v>
      </c>
      <c r="C22" s="59" t="s">
        <v>169</v>
      </c>
      <c r="D22" s="59">
        <f>Amphibolite!B8</f>
        <v>752408</v>
      </c>
      <c r="E22" s="59">
        <f>Amphibolite!B9</f>
        <v>5613883</v>
      </c>
      <c r="F22" s="59" t="s">
        <v>170</v>
      </c>
      <c r="G22" s="60">
        <f>Amphibolite!B37</f>
        <v>0.9275000000000001</v>
      </c>
      <c r="H22" s="60">
        <f>Amphibolite!B38</f>
        <v>0.78500000000000003</v>
      </c>
      <c r="I22" s="60">
        <f>Amphibolite!B39</f>
        <v>0.23</v>
      </c>
      <c r="J22" s="60">
        <f>Amphibolite!B40</f>
        <v>2.64</v>
      </c>
      <c r="K22" s="66">
        <f>Amphibolite!B41</f>
        <v>16</v>
      </c>
      <c r="L22" s="61" t="s">
        <v>161</v>
      </c>
    </row>
    <row r="23" spans="1:13" s="67" customFormat="1" x14ac:dyDescent="0.45">
      <c r="A23" s="67" t="s">
        <v>153</v>
      </c>
      <c r="B23" s="68">
        <v>54</v>
      </c>
      <c r="C23" s="67" t="s">
        <v>171</v>
      </c>
      <c r="D23" s="67">
        <f>Amphibolite!D8</f>
        <v>746452</v>
      </c>
      <c r="E23" s="67">
        <f>Amphibolite!D9</f>
        <v>5569037</v>
      </c>
      <c r="F23" s="67" t="s">
        <v>170</v>
      </c>
      <c r="G23" s="70">
        <f>Amphibolite!D37</f>
        <v>3.3594999999999993</v>
      </c>
      <c r="H23" s="70">
        <f>Amphibolite!D38</f>
        <v>2.1949999999999998</v>
      </c>
      <c r="I23" s="70">
        <f>Amphibolite!D39</f>
        <v>0.47</v>
      </c>
      <c r="J23" s="70">
        <f>Amphibolite!D40</f>
        <v>10.199999999999999</v>
      </c>
      <c r="K23" s="69">
        <f>Amphibolite!D41</f>
        <v>20</v>
      </c>
      <c r="L23" s="95" t="s">
        <v>158</v>
      </c>
      <c r="M23" s="112" t="s">
        <v>197</v>
      </c>
    </row>
    <row r="24" spans="1:13" s="59" customFormat="1" x14ac:dyDescent="0.45">
      <c r="A24" s="59" t="s">
        <v>153</v>
      </c>
      <c r="B24" s="64">
        <v>54</v>
      </c>
      <c r="C24" s="59" t="s">
        <v>169</v>
      </c>
      <c r="D24" s="59">
        <f>Amphibolite!G8</f>
        <v>752450</v>
      </c>
      <c r="E24" s="59">
        <f>Amphibolite!G9</f>
        <v>5613857</v>
      </c>
      <c r="F24" s="59" t="s">
        <v>170</v>
      </c>
      <c r="G24" s="60">
        <f>Amphibolite!G37</f>
        <v>0.73999999999999988</v>
      </c>
      <c r="H24" s="60">
        <f>Amphibolite!G38</f>
        <v>0.71</v>
      </c>
      <c r="I24" s="60">
        <f>Amphibolite!G39</f>
        <v>0.54</v>
      </c>
      <c r="J24" s="60">
        <f>Amphibolite!G40</f>
        <v>1.5</v>
      </c>
      <c r="K24" s="66">
        <f>Amphibolite!G41</f>
        <v>20</v>
      </c>
      <c r="L24" s="61" t="s">
        <v>162</v>
      </c>
    </row>
    <row r="25" spans="1:13" s="59" customFormat="1" x14ac:dyDescent="0.45">
      <c r="A25" s="59" t="s">
        <v>153</v>
      </c>
      <c r="B25" s="64">
        <v>54</v>
      </c>
      <c r="C25" s="59" t="s">
        <v>169</v>
      </c>
      <c r="D25" s="59">
        <f>Amphibolite!H8</f>
        <v>753567</v>
      </c>
      <c r="E25" s="59">
        <f>Amphibolite!H9</f>
        <v>5614512</v>
      </c>
      <c r="F25" s="59" t="s">
        <v>170</v>
      </c>
      <c r="G25" s="60">
        <f>Amphibolite!H37</f>
        <v>2.0070000000000001</v>
      </c>
      <c r="H25" s="60">
        <f>Amphibolite!H38</f>
        <v>1.0249999999999999</v>
      </c>
      <c r="I25" s="60">
        <f>Amphibolite!H39</f>
        <v>0.68</v>
      </c>
      <c r="J25" s="60">
        <f>Amphibolite!H40</f>
        <v>7.31</v>
      </c>
      <c r="K25" s="66">
        <f>Amphibolite!H41</f>
        <v>20</v>
      </c>
      <c r="L25" s="61" t="s">
        <v>172</v>
      </c>
    </row>
    <row r="26" spans="1:13" s="59" customFormat="1" x14ac:dyDescent="0.45">
      <c r="A26" s="59" t="s">
        <v>153</v>
      </c>
      <c r="B26" s="64">
        <v>54</v>
      </c>
      <c r="C26" s="59" t="s">
        <v>174</v>
      </c>
      <c r="D26" s="59">
        <f>Amphibolite!I8</f>
        <v>753698</v>
      </c>
      <c r="E26" s="59">
        <f>Amphibolite!I9</f>
        <v>5614477</v>
      </c>
      <c r="F26" s="59" t="s">
        <v>170</v>
      </c>
      <c r="G26" s="60">
        <f>Amphibolite!I38</f>
        <v>0.8</v>
      </c>
      <c r="H26" s="60">
        <f>Amphibolite!I38</f>
        <v>0.8</v>
      </c>
      <c r="I26" s="60">
        <f>Amphibolite!I39</f>
        <v>0.61</v>
      </c>
      <c r="J26" s="60">
        <f>Amphibolite!I40</f>
        <v>0.98</v>
      </c>
      <c r="K26" s="66">
        <f>Amphibolite!I41</f>
        <v>13</v>
      </c>
      <c r="L26" s="61" t="s">
        <v>173</v>
      </c>
    </row>
    <row r="27" spans="1:13" s="59" customFormat="1" x14ac:dyDescent="0.45">
      <c r="B27" s="64"/>
      <c r="G27" s="60"/>
      <c r="H27" s="60"/>
      <c r="I27" s="60"/>
      <c r="J27" s="60"/>
      <c r="K27" s="66"/>
      <c r="L27" s="61"/>
    </row>
    <row r="28" spans="1:13" s="59" customFormat="1" x14ac:dyDescent="0.45">
      <c r="A28" s="59" t="s">
        <v>153</v>
      </c>
      <c r="B28" s="64">
        <v>54</v>
      </c>
      <c r="C28" s="59" t="s">
        <v>174</v>
      </c>
      <c r="D28" s="59">
        <f>Amphibolite!J8</f>
        <v>753704</v>
      </c>
      <c r="E28" s="59">
        <f>Amphibolite!J9</f>
        <v>5614382</v>
      </c>
      <c r="F28" s="59" t="s">
        <v>170</v>
      </c>
      <c r="G28" s="60">
        <f>Amphibolite!J37</f>
        <v>1.6220000000000001</v>
      </c>
      <c r="H28" s="60">
        <f>Amphibolite!J38</f>
        <v>0.78</v>
      </c>
      <c r="I28" s="60">
        <f>Amphibolite!J39</f>
        <v>0.54</v>
      </c>
      <c r="J28" s="60">
        <f>Amphibolite!J40</f>
        <v>13</v>
      </c>
      <c r="K28" s="66">
        <f>Amphibolite!J41</f>
        <v>15</v>
      </c>
      <c r="L28" s="61" t="s">
        <v>175</v>
      </c>
    </row>
    <row r="29" spans="1:13" s="59" customFormat="1" x14ac:dyDescent="0.45">
      <c r="A29" s="59" t="s">
        <v>153</v>
      </c>
      <c r="B29" s="64">
        <v>54</v>
      </c>
      <c r="C29" s="59" t="s">
        <v>174</v>
      </c>
      <c r="D29" s="59">
        <f>Amphibolite!K8</f>
        <v>753710</v>
      </c>
      <c r="E29" s="59">
        <f>Amphibolite!K9</f>
        <v>5614352</v>
      </c>
      <c r="F29" s="59" t="s">
        <v>170</v>
      </c>
      <c r="G29" s="60">
        <f>Amphibolite!K37</f>
        <v>0.77999999999999992</v>
      </c>
      <c r="H29" s="60">
        <f>Amphibolite!K38</f>
        <v>0.78</v>
      </c>
      <c r="I29" s="60">
        <f>Amphibolite!K39</f>
        <v>0.47</v>
      </c>
      <c r="J29" s="60">
        <f>Amphibolite!K40</f>
        <v>1.03</v>
      </c>
      <c r="K29" s="66">
        <f>Amphibolite!K41</f>
        <v>23</v>
      </c>
      <c r="L29" s="61" t="s">
        <v>176</v>
      </c>
    </row>
    <row r="30" spans="1:13" s="71" customFormat="1" ht="15.75" x14ac:dyDescent="0.5">
      <c r="A30" s="71" t="s">
        <v>153</v>
      </c>
      <c r="B30" s="72"/>
      <c r="C30" s="71" t="s">
        <v>177</v>
      </c>
      <c r="F30" s="71" t="s">
        <v>170</v>
      </c>
      <c r="G30" s="73">
        <f>(G22*K22+G24*K24+G25*K25+G26*K26+G28*K28+G29*K29)/(K22+K24+K25+K26+K28+K29)</f>
        <v>1.144392523364486</v>
      </c>
      <c r="H30" s="73">
        <f>MEDIAN(Amphibolite!B$12:B$27,Amphibolite!G$12:G$31,Amphibolite!H$12:H$31,Amphibolite!I$12:I$24,Amphibolite!J$12:J$26,Amphibolite!K$12:K$34)</f>
        <v>0.79</v>
      </c>
      <c r="I30" s="71">
        <v>0.23</v>
      </c>
      <c r="J30" s="73">
        <v>13</v>
      </c>
      <c r="K30" s="74">
        <f>SUM(K22+K24+K25+K26+K28+K29)</f>
        <v>107</v>
      </c>
      <c r="L30" s="75"/>
    </row>
    <row r="31" spans="1:13" s="128" customFormat="1" ht="15.75" x14ac:dyDescent="0.5">
      <c r="A31" s="128" t="s">
        <v>219</v>
      </c>
      <c r="B31" s="129"/>
      <c r="G31" s="130">
        <f>(G30*K30+G14*K14+G15*K15+G16*K16)/(K14+K15+K16+K30)</f>
        <v>0.99842696629213468</v>
      </c>
      <c r="H31" s="130">
        <f>MEDIAN(Amphibolite!B$12:B$27,Amphibolite!G$12:G$31,Amphibolite!H$12:H$31,Amphibolite!I$12:I$24,Amphibolite!J$12:J$26,Amphibolite!K$12:K$34,Basalt!B$13:B$36,Basalt!G$13:G$27,Basalt!I$13:I$44)</f>
        <v>0.79500000000000004</v>
      </c>
      <c r="I31" s="128">
        <v>0.15</v>
      </c>
      <c r="J31" s="130">
        <v>13</v>
      </c>
      <c r="K31" s="131">
        <f>K14+K15+K16+K30</f>
        <v>178</v>
      </c>
      <c r="L31" s="132"/>
    </row>
    <row r="32" spans="1:13" s="85" customFormat="1" ht="15.75" x14ac:dyDescent="0.5">
      <c r="A32" s="85" t="s">
        <v>154</v>
      </c>
      <c r="B32" s="86">
        <v>55</v>
      </c>
      <c r="C32" s="85" t="s">
        <v>33</v>
      </c>
      <c r="D32" s="85">
        <f>'Yarra Ck Sh'!B8</f>
        <v>253771</v>
      </c>
      <c r="E32" s="85">
        <f>'Yarra Ck Sh'!B9</f>
        <v>5567181</v>
      </c>
      <c r="F32" s="85" t="s">
        <v>178</v>
      </c>
      <c r="G32" s="87">
        <f>'Yarra Ck Sh'!B53</f>
        <v>0.38099999999999995</v>
      </c>
      <c r="H32" s="87">
        <f>'Yarra Ck Sh'!B54</f>
        <v>0.36499999999999999</v>
      </c>
      <c r="I32" s="87">
        <f>'Yarra Ck Sh'!B55</f>
        <v>0.19</v>
      </c>
      <c r="J32" s="87">
        <f>'Yarra Ck Sh'!B56</f>
        <v>0.68</v>
      </c>
      <c r="K32" s="88">
        <f>'Yarra Ck Sh'!B57</f>
        <v>40</v>
      </c>
      <c r="L32" s="89" t="s">
        <v>179</v>
      </c>
    </row>
    <row r="33" spans="1:13" s="90" customFormat="1" x14ac:dyDescent="0.45">
      <c r="A33" s="90" t="s">
        <v>180</v>
      </c>
      <c r="B33" s="91">
        <v>55</v>
      </c>
      <c r="C33" s="90" t="s">
        <v>33</v>
      </c>
      <c r="D33" s="90">
        <f>Hyaloclastite!B8</f>
        <v>253818</v>
      </c>
      <c r="E33" s="90">
        <f>Hyaloclastite!B9</f>
        <v>5566982</v>
      </c>
      <c r="F33" s="90" t="s">
        <v>181</v>
      </c>
      <c r="G33" s="92">
        <f>Hyaloclastite!B40</f>
        <v>0.56879999999999997</v>
      </c>
      <c r="H33" s="92">
        <f>Hyaloclastite!B41</f>
        <v>0.53</v>
      </c>
      <c r="I33" s="92">
        <f>Hyaloclastite!B42</f>
        <v>0.28999999999999998</v>
      </c>
      <c r="J33" s="92">
        <f>Hyaloclastite!B43</f>
        <v>0.88</v>
      </c>
      <c r="K33" s="93">
        <f>Hyaloclastite!B44</f>
        <v>26</v>
      </c>
      <c r="L33" s="94" t="s">
        <v>166</v>
      </c>
      <c r="M33" s="90" t="s">
        <v>190</v>
      </c>
    </row>
    <row r="34" spans="1:13" s="90" customFormat="1" x14ac:dyDescent="0.45">
      <c r="A34" s="90" t="s">
        <v>180</v>
      </c>
      <c r="B34" s="91">
        <v>55</v>
      </c>
      <c r="C34" s="90" t="s">
        <v>33</v>
      </c>
      <c r="D34" s="90">
        <f>Hyaloclastite!C8</f>
        <v>253913</v>
      </c>
      <c r="E34" s="90">
        <f>Hyaloclastite!C9</f>
        <v>5566822</v>
      </c>
      <c r="F34" s="90" t="s">
        <v>182</v>
      </c>
      <c r="G34" s="92">
        <f>Hyaloclastite!C40</f>
        <v>0.47703703703703715</v>
      </c>
      <c r="H34" s="92">
        <f>Hyaloclastite!C41</f>
        <v>0.435</v>
      </c>
      <c r="I34" s="92">
        <f>Hyaloclastite!C42</f>
        <v>0.33</v>
      </c>
      <c r="J34" s="92">
        <f>Hyaloclastite!C43</f>
        <v>0.61</v>
      </c>
      <c r="K34" s="93">
        <f>Hyaloclastite!C44</f>
        <v>28</v>
      </c>
      <c r="L34" s="94" t="s">
        <v>183</v>
      </c>
    </row>
    <row r="35" spans="1:13" s="90" customFormat="1" x14ac:dyDescent="0.45">
      <c r="A35" s="90" t="s">
        <v>180</v>
      </c>
      <c r="B35" s="91">
        <v>55</v>
      </c>
      <c r="C35" s="90" t="s">
        <v>33</v>
      </c>
      <c r="D35" s="90">
        <f>Hyaloclastite!D8</f>
        <v>253926</v>
      </c>
      <c r="E35" s="90">
        <f>Hyaloclastite!D9</f>
        <v>5566478</v>
      </c>
      <c r="F35" s="90" t="s">
        <v>53</v>
      </c>
      <c r="G35" s="92">
        <f>Hyaloclastite!D40</f>
        <v>1.0790909090909091</v>
      </c>
      <c r="H35" s="92">
        <f>Hyaloclastite!D41</f>
        <v>0.47</v>
      </c>
      <c r="I35" s="92">
        <f>Hyaloclastite!D42</f>
        <v>0.28999999999999998</v>
      </c>
      <c r="J35" s="92">
        <f>Hyaloclastite!D43</f>
        <v>4.43</v>
      </c>
      <c r="K35" s="93">
        <f>Hyaloclastite!D44</f>
        <v>11</v>
      </c>
      <c r="L35" s="94" t="s">
        <v>167</v>
      </c>
      <c r="M35" s="90" t="s">
        <v>191</v>
      </c>
    </row>
    <row r="36" spans="1:13" s="101" customFormat="1" ht="15.75" x14ac:dyDescent="0.5">
      <c r="A36" s="101" t="s">
        <v>180</v>
      </c>
      <c r="B36" s="102"/>
      <c r="G36" s="103">
        <f>SUM(G33*K33+G34*K34+G35*K35)/(K33+K34+K35)</f>
        <v>0.61562826210826227</v>
      </c>
      <c r="H36" s="103">
        <f>MEDIAN(Hyaloclastite!B11:B36,Hyaloclastite!C11:C38,Hyaloclastite!D11:D21)</f>
        <v>0.48</v>
      </c>
      <c r="I36" s="101">
        <v>0.28999999999999998</v>
      </c>
      <c r="J36" s="101">
        <v>4.43</v>
      </c>
      <c r="K36" s="104">
        <f>SUM(K33:K35)</f>
        <v>65</v>
      </c>
      <c r="L36" s="105"/>
    </row>
    <row r="37" spans="1:13" s="96" customFormat="1" x14ac:dyDescent="0.45">
      <c r="A37" s="96" t="s">
        <v>139</v>
      </c>
      <c r="B37" s="97">
        <v>55</v>
      </c>
      <c r="C37" s="96" t="s">
        <v>69</v>
      </c>
      <c r="D37" s="96">
        <f>Granite!B8</f>
        <v>746412</v>
      </c>
      <c r="E37" s="96">
        <f>Granite!B9</f>
        <v>5569053</v>
      </c>
      <c r="G37" s="98">
        <f>Granite!B27</f>
        <v>0.17874999999999999</v>
      </c>
      <c r="H37" s="98">
        <f>Granite!B28</f>
        <v>0.17499999999999999</v>
      </c>
      <c r="I37" s="98">
        <f>Granite!B29</f>
        <v>0.15</v>
      </c>
      <c r="J37" s="98">
        <f>Granite!B30</f>
        <v>0.24</v>
      </c>
      <c r="K37" s="99">
        <f>Granite!B31</f>
        <v>8</v>
      </c>
      <c r="L37" s="100" t="s">
        <v>161</v>
      </c>
    </row>
    <row r="38" spans="1:13" s="96" customFormat="1" x14ac:dyDescent="0.45">
      <c r="A38" s="96" t="s">
        <v>139</v>
      </c>
      <c r="B38" s="97">
        <v>55</v>
      </c>
      <c r="C38" s="96" t="s">
        <v>174</v>
      </c>
      <c r="D38" s="96">
        <f>Granite!D8</f>
        <v>753567</v>
      </c>
      <c r="E38" s="96">
        <f>Granite!D9</f>
        <v>5614512</v>
      </c>
      <c r="G38" s="98">
        <f>Granite!D27</f>
        <v>9.8888888888888873E-2</v>
      </c>
      <c r="H38" s="98">
        <f>Granite!D28</f>
        <v>0.09</v>
      </c>
      <c r="I38" s="98">
        <f>Granite!D29</f>
        <v>0.08</v>
      </c>
      <c r="J38" s="98">
        <f>Granite!D30</f>
        <v>0.13</v>
      </c>
      <c r="K38" s="99">
        <f>Granite!D31</f>
        <v>9</v>
      </c>
      <c r="L38" s="100" t="s">
        <v>172</v>
      </c>
    </row>
    <row r="39" spans="1:13" s="96" customFormat="1" x14ac:dyDescent="0.45">
      <c r="A39" s="96" t="s">
        <v>139</v>
      </c>
      <c r="B39" s="97">
        <v>55</v>
      </c>
      <c r="C39" s="96" t="s">
        <v>174</v>
      </c>
      <c r="D39" s="96">
        <f>Granite!E8</f>
        <v>753710</v>
      </c>
      <c r="E39" s="96">
        <f>Granite!E9</f>
        <v>5614352</v>
      </c>
      <c r="G39" s="98">
        <f>Granite!E27</f>
        <v>4.8461538461538473E-2</v>
      </c>
      <c r="H39" s="98">
        <f>Granite!E28</f>
        <v>0.05</v>
      </c>
      <c r="I39" s="98">
        <f>Granite!E29</f>
        <v>0.02</v>
      </c>
      <c r="J39" s="98">
        <f>Granite!E30</f>
        <v>0.1</v>
      </c>
      <c r="K39" s="99">
        <f>Granite!E31</f>
        <v>13</v>
      </c>
      <c r="L39" s="100" t="s">
        <v>176</v>
      </c>
    </row>
    <row r="40" spans="1:13" s="96" customFormat="1" x14ac:dyDescent="0.45">
      <c r="A40" s="96" t="s">
        <v>139</v>
      </c>
      <c r="B40" s="97">
        <v>55</v>
      </c>
      <c r="C40" s="96" t="s">
        <v>79</v>
      </c>
      <c r="D40" s="96">
        <f>Granite!F8</f>
        <v>756094</v>
      </c>
      <c r="E40" s="96">
        <f>Granite!F9</f>
        <v>5612455</v>
      </c>
      <c r="F40" s="96" t="s">
        <v>186</v>
      </c>
      <c r="G40" s="98">
        <f>Granite!F27</f>
        <v>6.1666666666666668E-2</v>
      </c>
      <c r="H40" s="98">
        <f>Granite!F28</f>
        <v>6.5000000000000002E-2</v>
      </c>
      <c r="I40" s="98">
        <f>Granite!F29</f>
        <v>0.03</v>
      </c>
      <c r="J40" s="98">
        <f>Granite!F30</f>
        <v>0.09</v>
      </c>
      <c r="K40" s="99">
        <f>Granite!F31</f>
        <v>12</v>
      </c>
      <c r="L40" s="100" t="s">
        <v>184</v>
      </c>
    </row>
    <row r="41" spans="1:13" s="96" customFormat="1" x14ac:dyDescent="0.45">
      <c r="A41" s="96" t="s">
        <v>139</v>
      </c>
      <c r="B41" s="97">
        <v>55</v>
      </c>
      <c r="C41" s="96" t="s">
        <v>79</v>
      </c>
      <c r="D41" s="96">
        <f>Granite!G8</f>
        <v>756094</v>
      </c>
      <c r="E41" s="96">
        <f>Granite!G9</f>
        <v>5612455</v>
      </c>
      <c r="F41" s="96" t="s">
        <v>185</v>
      </c>
      <c r="G41" s="98">
        <f>Granite!G27</f>
        <v>0.16866666666666666</v>
      </c>
      <c r="H41" s="98">
        <f>Granite!G28</f>
        <v>0.17</v>
      </c>
      <c r="I41" s="98">
        <f>Granite!G29</f>
        <v>0.12</v>
      </c>
      <c r="J41" s="98">
        <f>Granite!G30</f>
        <v>0.21</v>
      </c>
      <c r="K41" s="99">
        <f>Granite!G31</f>
        <v>15</v>
      </c>
      <c r="L41" s="100" t="s">
        <v>184</v>
      </c>
    </row>
    <row r="42" spans="1:13" s="96" customFormat="1" x14ac:dyDescent="0.45">
      <c r="B42" s="97">
        <v>55</v>
      </c>
      <c r="C42" s="96" t="s">
        <v>31</v>
      </c>
      <c r="D42" s="96">
        <f>Granite!I8</f>
        <v>743108</v>
      </c>
      <c r="E42" s="96">
        <f>Granite!I9</f>
        <v>5576730</v>
      </c>
      <c r="G42" s="98">
        <f>Granite!I27</f>
        <v>0.14499999999999999</v>
      </c>
      <c r="H42" s="98">
        <f>Granite!I28</f>
        <v>0.15</v>
      </c>
      <c r="I42" s="98">
        <f>Granite!I29</f>
        <v>0.08</v>
      </c>
      <c r="J42" s="98">
        <f>Granite!I30</f>
        <v>0.2</v>
      </c>
      <c r="K42" s="99">
        <f>Granite!I31</f>
        <v>10</v>
      </c>
      <c r="L42" s="100"/>
    </row>
    <row r="43" spans="1:13" s="96" customFormat="1" x14ac:dyDescent="0.45">
      <c r="B43" s="97">
        <v>55</v>
      </c>
      <c r="C43" s="96" t="s">
        <v>212</v>
      </c>
      <c r="D43" s="96">
        <f>Granite!J8</f>
        <v>744289</v>
      </c>
      <c r="E43" s="96">
        <f>Granite!J9</f>
        <v>5584982</v>
      </c>
      <c r="G43" s="98">
        <f>Granite!J27</f>
        <v>9.3333333333333338E-2</v>
      </c>
      <c r="H43" s="98">
        <f>Granite!J28</f>
        <v>0.09</v>
      </c>
      <c r="I43" s="98">
        <f>Granite!J29</f>
        <v>0.04</v>
      </c>
      <c r="J43" s="98">
        <f>Granite!J30</f>
        <v>0.15</v>
      </c>
      <c r="K43" s="99">
        <f>Granite!J31</f>
        <v>6</v>
      </c>
      <c r="L43" s="100"/>
    </row>
    <row r="44" spans="1:13" s="106" customFormat="1" ht="15.75" x14ac:dyDescent="0.5">
      <c r="A44" s="106" t="s">
        <v>139</v>
      </c>
      <c r="B44" s="107"/>
      <c r="G44" s="108">
        <f>SUM(G37*K37+G38*K38+G39*K39+G40*K40+G41*K41+G42*K42+G43*K43)/K44</f>
        <v>0.11273972602739726</v>
      </c>
      <c r="H44" s="108">
        <f>MEDIAN(Granite!B11:B18,Granite!D11:D19,Granite!E11:E23,Granite!F11:F22,Granite!G11:G25,Granite!I11:I20,Granite!J11:J16)</f>
        <v>0.12</v>
      </c>
      <c r="I44" s="108">
        <f>SMALL(I37:I43,1)</f>
        <v>0.02</v>
      </c>
      <c r="J44" s="108">
        <f>SMALL(J37:J43,7)</f>
        <v>0.24</v>
      </c>
      <c r="K44" s="109">
        <f>SUM(K37:K43)</f>
        <v>73</v>
      </c>
      <c r="L44" s="110"/>
    </row>
    <row r="45" spans="1:13" x14ac:dyDescent="0.45">
      <c r="K45" s="53"/>
      <c r="L45" s="55"/>
    </row>
    <row r="46" spans="1:13" ht="15.75" x14ac:dyDescent="0.5">
      <c r="A46" s="111" t="s">
        <v>187</v>
      </c>
      <c r="C46" s="121">
        <f>SUM(K4+K11+K13+K18+K21+K30+K32+K36+K44)</f>
        <v>633</v>
      </c>
      <c r="K46" s="53"/>
      <c r="L46" s="55"/>
    </row>
    <row r="47" spans="1:13" x14ac:dyDescent="0.45">
      <c r="K47" s="53"/>
      <c r="L47" s="55"/>
    </row>
    <row r="48" spans="1:13" x14ac:dyDescent="0.45">
      <c r="K48" s="53"/>
      <c r="L48" s="55"/>
    </row>
    <row r="49" spans="11:12" x14ac:dyDescent="0.45">
      <c r="K49" s="53"/>
      <c r="L49" s="55"/>
    </row>
    <row r="50" spans="11:12" x14ac:dyDescent="0.45">
      <c r="K50" s="53"/>
      <c r="L50" s="55"/>
    </row>
    <row r="51" spans="11:12" x14ac:dyDescent="0.45">
      <c r="K51" s="53"/>
      <c r="L51" s="55"/>
    </row>
    <row r="52" spans="11:12" x14ac:dyDescent="0.45">
      <c r="K52" s="53"/>
      <c r="L52" s="55"/>
    </row>
    <row r="53" spans="11:12" x14ac:dyDescent="0.45">
      <c r="K53" s="53"/>
      <c r="L53" s="55"/>
    </row>
    <row r="54" spans="11:12" x14ac:dyDescent="0.45">
      <c r="K54" s="53"/>
      <c r="L54" s="55"/>
    </row>
    <row r="55" spans="11:12" x14ac:dyDescent="0.45">
      <c r="K55" s="53"/>
      <c r="L55" s="55"/>
    </row>
    <row r="56" spans="11:12" x14ac:dyDescent="0.45">
      <c r="K56" s="53"/>
      <c r="L56" s="55"/>
    </row>
    <row r="57" spans="11:12" x14ac:dyDescent="0.45">
      <c r="K57" s="53"/>
    </row>
    <row r="58" spans="11:12" x14ac:dyDescent="0.45">
      <c r="K58" s="53"/>
    </row>
    <row r="59" spans="11:12" x14ac:dyDescent="0.45">
      <c r="K59" s="53"/>
    </row>
    <row r="60" spans="11:12" x14ac:dyDescent="0.45">
      <c r="K60" s="53"/>
    </row>
    <row r="61" spans="11:12" x14ac:dyDescent="0.45">
      <c r="K61" s="53"/>
    </row>
    <row r="62" spans="11:12" x14ac:dyDescent="0.45">
      <c r="K62" s="53"/>
    </row>
    <row r="63" spans="11:12" x14ac:dyDescent="0.45">
      <c r="K63" s="53"/>
    </row>
    <row r="64" spans="11:12" x14ac:dyDescent="0.45">
      <c r="K64" s="53"/>
    </row>
    <row r="65" spans="11:11" x14ac:dyDescent="0.45">
      <c r="K65" s="53"/>
    </row>
    <row r="66" spans="11:11" x14ac:dyDescent="0.45">
      <c r="K66" s="53"/>
    </row>
    <row r="67" spans="11:11" x14ac:dyDescent="0.45">
      <c r="K67" s="53"/>
    </row>
    <row r="68" spans="11:11" x14ac:dyDescent="0.45">
      <c r="K68" s="53"/>
    </row>
    <row r="69" spans="11:11" x14ac:dyDescent="0.45">
      <c r="K69" s="53"/>
    </row>
    <row r="70" spans="11:11" x14ac:dyDescent="0.45">
      <c r="K70" s="53"/>
    </row>
    <row r="71" spans="11:11" x14ac:dyDescent="0.45">
      <c r="K71" s="53"/>
    </row>
    <row r="72" spans="11:11" x14ac:dyDescent="0.45">
      <c r="K72" s="53"/>
    </row>
    <row r="73" spans="11:11" x14ac:dyDescent="0.45">
      <c r="K73" s="53"/>
    </row>
  </sheetData>
  <mergeCells count="1">
    <mergeCell ref="M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4"/>
  <sheetViews>
    <sheetView topLeftCell="I63" workbookViewId="0">
      <selection activeCell="U11" sqref="U11:U91"/>
    </sheetView>
  </sheetViews>
  <sheetFormatPr defaultRowHeight="14.25" x14ac:dyDescent="0.45"/>
  <cols>
    <col min="1" max="1" width="15.19921875" customWidth="1"/>
    <col min="2" max="2" width="18.6640625" customWidth="1"/>
    <col min="3" max="5" width="15.19921875" customWidth="1"/>
    <col min="6" max="6" width="13" customWidth="1"/>
    <col min="7" max="14" width="13.6640625" customWidth="1"/>
    <col min="15" max="15" width="13.46484375" customWidth="1"/>
  </cols>
  <sheetData>
    <row r="1" spans="1:22" s="8" customFormat="1" ht="24" customHeight="1" x14ac:dyDescent="0.55000000000000004">
      <c r="A1" s="7" t="s">
        <v>13</v>
      </c>
      <c r="Q1" s="9"/>
    </row>
    <row r="2" spans="1:22" x14ac:dyDescent="0.45">
      <c r="A2" t="s">
        <v>0</v>
      </c>
    </row>
    <row r="3" spans="1:22" x14ac:dyDescent="0.45">
      <c r="A3" t="s">
        <v>1</v>
      </c>
      <c r="B3" s="11">
        <v>40581</v>
      </c>
      <c r="C3" s="11">
        <v>40582</v>
      </c>
      <c r="D3" s="11">
        <v>40583</v>
      </c>
      <c r="E3" s="11"/>
      <c r="F3" s="11">
        <v>40583</v>
      </c>
      <c r="H3" s="12">
        <v>40584</v>
      </c>
      <c r="I3" s="12"/>
      <c r="K3" s="12">
        <v>40667</v>
      </c>
      <c r="L3" s="12"/>
      <c r="M3" s="12">
        <v>40669</v>
      </c>
      <c r="N3" s="12">
        <v>40670</v>
      </c>
      <c r="Q3" s="12"/>
      <c r="R3" s="12"/>
      <c r="S3" s="12"/>
    </row>
    <row r="4" spans="1:22" x14ac:dyDescent="0.45">
      <c r="A4" t="s">
        <v>2</v>
      </c>
      <c r="B4">
        <v>1</v>
      </c>
      <c r="C4">
        <v>2</v>
      </c>
      <c r="D4">
        <v>1</v>
      </c>
      <c r="F4">
        <v>2</v>
      </c>
      <c r="H4">
        <v>1</v>
      </c>
    </row>
    <row r="6" spans="1:22" x14ac:dyDescent="0.45">
      <c r="A6" t="s">
        <v>3</v>
      </c>
      <c r="B6" t="s">
        <v>4</v>
      </c>
      <c r="C6" t="s">
        <v>5</v>
      </c>
      <c r="D6" s="10" t="s">
        <v>14</v>
      </c>
      <c r="E6" t="s">
        <v>7</v>
      </c>
    </row>
    <row r="8" spans="1:22" x14ac:dyDescent="0.45">
      <c r="A8" t="s">
        <v>8</v>
      </c>
      <c r="B8">
        <v>742364</v>
      </c>
      <c r="C8">
        <v>752408</v>
      </c>
      <c r="D8">
        <v>749075</v>
      </c>
      <c r="F8">
        <v>746412</v>
      </c>
      <c r="H8">
        <v>752450</v>
      </c>
      <c r="K8" s="16">
        <v>742623</v>
      </c>
      <c r="M8">
        <v>748861</v>
      </c>
      <c r="N8">
        <v>749465</v>
      </c>
    </row>
    <row r="9" spans="1:22" x14ac:dyDescent="0.45">
      <c r="A9" t="s">
        <v>9</v>
      </c>
      <c r="B9">
        <v>5576999</v>
      </c>
      <c r="C9">
        <v>5613883</v>
      </c>
      <c r="D9">
        <v>5550276</v>
      </c>
      <c r="F9">
        <v>5569053</v>
      </c>
      <c r="H9">
        <v>5613857</v>
      </c>
      <c r="K9" s="16">
        <v>5576972</v>
      </c>
      <c r="M9">
        <v>5550992</v>
      </c>
      <c r="N9">
        <v>5550319</v>
      </c>
      <c r="U9" s="134" t="s">
        <v>220</v>
      </c>
      <c r="V9" s="134" t="s">
        <v>222</v>
      </c>
    </row>
    <row r="10" spans="1:22" x14ac:dyDescent="0.45">
      <c r="B10" s="4" t="s">
        <v>15</v>
      </c>
      <c r="C10" s="4" t="s">
        <v>55</v>
      </c>
      <c r="D10" s="4" t="s">
        <v>56</v>
      </c>
      <c r="E10" s="4"/>
      <c r="F10" s="4" t="s">
        <v>72</v>
      </c>
      <c r="H10" s="4" t="s">
        <v>55</v>
      </c>
      <c r="K10" t="s">
        <v>15</v>
      </c>
      <c r="M10" t="s">
        <v>210</v>
      </c>
      <c r="N10" t="s">
        <v>211</v>
      </c>
      <c r="Q10" s="3">
        <v>40305</v>
      </c>
      <c r="R10" s="3">
        <v>40307</v>
      </c>
      <c r="S10" s="4" t="s">
        <v>10</v>
      </c>
      <c r="U10" s="134"/>
      <c r="V10" s="134"/>
    </row>
    <row r="11" spans="1:22" x14ac:dyDescent="0.45">
      <c r="B11" s="5">
        <v>0.1</v>
      </c>
      <c r="C11" s="5">
        <v>0.35</v>
      </c>
      <c r="D11" s="5">
        <v>0.24</v>
      </c>
      <c r="F11" s="5">
        <v>0.17</v>
      </c>
      <c r="H11" s="5">
        <v>1.41</v>
      </c>
      <c r="K11" s="5">
        <v>0.4</v>
      </c>
      <c r="M11" s="5">
        <v>0.15</v>
      </c>
      <c r="N11" s="5">
        <v>0.33</v>
      </c>
      <c r="P11" t="s">
        <v>11</v>
      </c>
      <c r="Q11" s="6">
        <f>COUNTIF(B$11:B$72,"&gt;=0")-COUNTIF(B$11:B$72,"&gt;0.049")</f>
        <v>0</v>
      </c>
      <c r="R11" s="6">
        <f>COUNTIF(C$11:C$115,"&gt;=0")-COUNTIF(C$11:C$115,"&gt;0.049")</f>
        <v>0</v>
      </c>
      <c r="S11" s="6">
        <f>COUNTIF(AD$11:AD$180,"&gt;=0")-COUNTIF(AD$11:AD$180,"&gt;0.049")</f>
        <v>0</v>
      </c>
      <c r="U11" s="5">
        <v>0.05</v>
      </c>
      <c r="V11" s="5">
        <v>0.05</v>
      </c>
    </row>
    <row r="12" spans="1:22" x14ac:dyDescent="0.45">
      <c r="B12" s="5">
        <v>0.09</v>
      </c>
      <c r="C12" s="5">
        <v>0.51</v>
      </c>
      <c r="D12" s="5">
        <v>0.16</v>
      </c>
      <c r="F12" s="5">
        <v>0.08</v>
      </c>
      <c r="H12" s="5">
        <v>0.28999999999999998</v>
      </c>
      <c r="K12" s="5">
        <v>0.19</v>
      </c>
      <c r="M12" s="5">
        <v>0.16</v>
      </c>
      <c r="N12" s="5">
        <v>0.23</v>
      </c>
      <c r="P12" t="s">
        <v>12</v>
      </c>
      <c r="Q12" s="6">
        <f>COUNTIF(B$11:B$72,"&gt;=0.050")-COUNTIF(B$11:B$72,"&gt;0.099")</f>
        <v>23</v>
      </c>
      <c r="R12" s="6">
        <f>COUNTIF(C$11:C$115,"&gt;=0.050")-COUNTIF(C$11:C$115,"&gt;0.099")</f>
        <v>3</v>
      </c>
      <c r="S12" s="6">
        <f>COUNTIF(AD$11:AD$180,"&gt;=0.050")-COUNTIF(AD$11:AD$180,"&gt;0.099")</f>
        <v>0</v>
      </c>
      <c r="U12" s="5">
        <v>0.06</v>
      </c>
      <c r="V12" s="5">
        <v>0.06</v>
      </c>
    </row>
    <row r="13" spans="1:22" x14ac:dyDescent="0.45">
      <c r="B13" s="5">
        <v>0.09</v>
      </c>
      <c r="C13" s="5">
        <v>0.2</v>
      </c>
      <c r="D13" s="5">
        <v>0.27</v>
      </c>
      <c r="F13" s="5">
        <v>0.15</v>
      </c>
      <c r="H13" s="5">
        <v>0.56000000000000005</v>
      </c>
      <c r="K13" s="5">
        <v>0.18</v>
      </c>
      <c r="L13" s="5"/>
      <c r="M13" s="5">
        <v>0.11</v>
      </c>
      <c r="N13" s="5">
        <v>0.32</v>
      </c>
      <c r="U13" s="5">
        <v>0.06</v>
      </c>
      <c r="V13" s="5">
        <v>0.06</v>
      </c>
    </row>
    <row r="14" spans="1:22" x14ac:dyDescent="0.45">
      <c r="B14" s="5">
        <v>0.09</v>
      </c>
      <c r="C14" s="5">
        <v>0.8</v>
      </c>
      <c r="D14" s="5">
        <v>0.21</v>
      </c>
      <c r="F14" s="5">
        <v>0.16</v>
      </c>
      <c r="H14" s="5">
        <v>0.53</v>
      </c>
      <c r="K14" s="5">
        <v>0.16</v>
      </c>
      <c r="L14" s="5"/>
      <c r="M14" s="5">
        <v>0.11</v>
      </c>
      <c r="N14" s="5">
        <v>0.15</v>
      </c>
      <c r="U14" s="5">
        <v>0.06</v>
      </c>
      <c r="V14" s="31">
        <v>0.08</v>
      </c>
    </row>
    <row r="15" spans="1:22" x14ac:dyDescent="0.45">
      <c r="B15" s="5">
        <v>7.0000000000000007E-2</v>
      </c>
      <c r="C15" s="5">
        <v>0.44</v>
      </c>
      <c r="D15" s="5">
        <v>0.32</v>
      </c>
      <c r="F15" s="5">
        <v>0.13</v>
      </c>
      <c r="H15" s="5">
        <v>0.2</v>
      </c>
      <c r="K15" s="5">
        <v>0.3</v>
      </c>
      <c r="L15" s="5"/>
      <c r="M15" s="5">
        <v>0.15</v>
      </c>
      <c r="N15" s="5">
        <v>0.35</v>
      </c>
      <c r="U15" s="5">
        <v>0.06</v>
      </c>
      <c r="V15" s="5">
        <v>0.1</v>
      </c>
    </row>
    <row r="16" spans="1:22" x14ac:dyDescent="0.45">
      <c r="B16" s="5">
        <v>7.0000000000000007E-2</v>
      </c>
      <c r="C16" s="5">
        <v>0.12</v>
      </c>
      <c r="D16" s="5">
        <v>0.33</v>
      </c>
      <c r="F16" s="5">
        <v>0.15</v>
      </c>
      <c r="H16" s="25">
        <v>0.05</v>
      </c>
      <c r="I16" s="25">
        <v>752386</v>
      </c>
      <c r="J16" s="38" t="s">
        <v>8</v>
      </c>
      <c r="K16" s="23">
        <v>0.1</v>
      </c>
      <c r="L16" s="23"/>
      <c r="M16" s="23">
        <v>0.17</v>
      </c>
      <c r="N16" s="23">
        <v>0.2</v>
      </c>
      <c r="U16" s="5">
        <v>7.0000000000000007E-2</v>
      </c>
      <c r="V16" s="5">
        <v>0.1</v>
      </c>
    </row>
    <row r="17" spans="1:22" x14ac:dyDescent="0.45">
      <c r="B17" s="5">
        <v>0.05</v>
      </c>
      <c r="C17" s="5">
        <v>0.19</v>
      </c>
      <c r="D17" s="5">
        <v>0.21</v>
      </c>
      <c r="E17" s="5"/>
      <c r="F17" s="5">
        <v>0.13</v>
      </c>
      <c r="H17" s="5">
        <v>0.09</v>
      </c>
      <c r="I17">
        <v>5613857</v>
      </c>
      <c r="J17" t="s">
        <v>9</v>
      </c>
      <c r="K17" s="5">
        <v>0.39</v>
      </c>
      <c r="L17" s="5"/>
      <c r="M17" s="5">
        <v>0.06</v>
      </c>
      <c r="N17" s="5">
        <v>0.17</v>
      </c>
      <c r="U17" s="5">
        <v>7.0000000000000007E-2</v>
      </c>
      <c r="V17" s="5">
        <v>0.11</v>
      </c>
    </row>
    <row r="18" spans="1:22" x14ac:dyDescent="0.45">
      <c r="B18" s="5">
        <v>7.0000000000000007E-2</v>
      </c>
      <c r="C18" s="5">
        <v>0.22</v>
      </c>
      <c r="D18" s="5">
        <v>0.1</v>
      </c>
      <c r="E18" s="5"/>
      <c r="F18" s="5">
        <v>0.15</v>
      </c>
      <c r="H18" s="5">
        <v>0.23</v>
      </c>
      <c r="K18" s="5">
        <v>0.26</v>
      </c>
      <c r="L18" s="5"/>
      <c r="M18" s="5">
        <v>0.05</v>
      </c>
      <c r="N18" s="5">
        <v>0.21</v>
      </c>
      <c r="U18" s="5">
        <v>7.0000000000000007E-2</v>
      </c>
      <c r="V18" s="5">
        <v>0.11</v>
      </c>
    </row>
    <row r="19" spans="1:22" x14ac:dyDescent="0.45">
      <c r="B19" s="5">
        <v>0.08</v>
      </c>
      <c r="C19" s="5">
        <v>0.13</v>
      </c>
      <c r="D19" s="5">
        <v>0.39</v>
      </c>
      <c r="E19" s="5"/>
      <c r="F19" s="5">
        <v>0.16</v>
      </c>
      <c r="H19" s="5">
        <v>0.11</v>
      </c>
      <c r="K19" s="5">
        <v>0.2</v>
      </c>
      <c r="L19" s="5"/>
      <c r="M19" s="5">
        <v>0.22</v>
      </c>
      <c r="N19" s="5">
        <v>0.12</v>
      </c>
      <c r="U19" s="5">
        <v>7.0000000000000007E-2</v>
      </c>
      <c r="V19" s="5">
        <v>0.11</v>
      </c>
    </row>
    <row r="20" spans="1:22" x14ac:dyDescent="0.45">
      <c r="B20" s="5">
        <v>0.1</v>
      </c>
      <c r="C20" s="5">
        <v>0.18</v>
      </c>
      <c r="D20" s="5">
        <v>0.11</v>
      </c>
      <c r="E20" s="5"/>
      <c r="F20" s="5">
        <v>0.22</v>
      </c>
      <c r="H20" s="5">
        <v>7.0000000000000007E-2</v>
      </c>
      <c r="K20" s="5">
        <v>0.21</v>
      </c>
      <c r="L20" s="5"/>
      <c r="M20" s="5">
        <v>0.13</v>
      </c>
      <c r="N20" s="5">
        <v>0.2</v>
      </c>
      <c r="U20" s="5">
        <v>0.08</v>
      </c>
      <c r="V20" s="5">
        <v>0.12</v>
      </c>
    </row>
    <row r="21" spans="1:22" x14ac:dyDescent="0.45">
      <c r="A21" t="s">
        <v>16</v>
      </c>
      <c r="B21" s="5">
        <v>0.06</v>
      </c>
      <c r="C21" s="5">
        <v>0.08</v>
      </c>
      <c r="D21" s="5">
        <v>0.12</v>
      </c>
      <c r="E21" s="5"/>
      <c r="F21" s="5">
        <v>0.15</v>
      </c>
      <c r="H21" s="5">
        <v>7.0000000000000007E-2</v>
      </c>
      <c r="K21" s="5">
        <v>0.23</v>
      </c>
      <c r="L21" s="5"/>
      <c r="M21" s="5">
        <v>0.21</v>
      </c>
      <c r="N21" s="5">
        <v>0.18</v>
      </c>
      <c r="U21" s="5">
        <v>0.08</v>
      </c>
      <c r="V21" s="5">
        <v>0.12</v>
      </c>
    </row>
    <row r="22" spans="1:22" x14ac:dyDescent="0.45">
      <c r="A22" t="s">
        <v>17</v>
      </c>
      <c r="B22" s="5">
        <v>0.06</v>
      </c>
      <c r="C22" s="5">
        <v>0.21</v>
      </c>
      <c r="D22" s="5">
        <v>0.24</v>
      </c>
      <c r="E22" s="19" t="s">
        <v>58</v>
      </c>
      <c r="F22" s="5">
        <v>0.25</v>
      </c>
      <c r="H22" s="5">
        <v>0.18</v>
      </c>
      <c r="K22" s="5">
        <v>0.12</v>
      </c>
      <c r="L22" s="5"/>
      <c r="M22" s="5">
        <v>0.17</v>
      </c>
      <c r="N22" s="5">
        <v>0.22</v>
      </c>
      <c r="U22" s="5">
        <v>0.08</v>
      </c>
      <c r="V22" s="5">
        <v>0.12</v>
      </c>
    </row>
    <row r="23" spans="1:22" x14ac:dyDescent="0.45">
      <c r="B23" s="5">
        <v>0.06</v>
      </c>
      <c r="C23" s="5">
        <v>0.15</v>
      </c>
      <c r="D23" s="20">
        <v>0.13</v>
      </c>
      <c r="E23" s="21" t="s">
        <v>59</v>
      </c>
      <c r="F23" s="5">
        <v>0.21</v>
      </c>
      <c r="H23" s="5">
        <v>0.36</v>
      </c>
      <c r="K23" s="5">
        <v>0.2</v>
      </c>
      <c r="L23" s="5"/>
      <c r="M23" s="5">
        <v>0.06</v>
      </c>
      <c r="N23" s="5">
        <v>0.2</v>
      </c>
      <c r="U23" s="31">
        <v>0.09</v>
      </c>
      <c r="V23" s="5">
        <v>0.12</v>
      </c>
    </row>
    <row r="24" spans="1:22" x14ac:dyDescent="0.45">
      <c r="B24" s="5">
        <v>0.06</v>
      </c>
      <c r="C24" s="5">
        <v>0.08</v>
      </c>
      <c r="D24" s="20">
        <v>0.1</v>
      </c>
      <c r="E24" s="22"/>
      <c r="F24" s="5">
        <v>0.14000000000000001</v>
      </c>
      <c r="H24" s="5">
        <v>0.16</v>
      </c>
      <c r="K24" s="5">
        <v>0.14000000000000001</v>
      </c>
      <c r="L24" s="5"/>
      <c r="M24" s="5">
        <v>0.15</v>
      </c>
      <c r="N24" s="5">
        <v>0.19</v>
      </c>
      <c r="U24" s="5">
        <v>0.09</v>
      </c>
      <c r="V24" s="5">
        <v>0.13</v>
      </c>
    </row>
    <row r="25" spans="1:22" x14ac:dyDescent="0.45">
      <c r="B25" s="5">
        <v>0.09</v>
      </c>
      <c r="C25" s="5">
        <v>0.19</v>
      </c>
      <c r="D25" s="5">
        <v>0.16</v>
      </c>
      <c r="E25" s="5" t="s">
        <v>60</v>
      </c>
      <c r="F25" s="5">
        <v>0.18</v>
      </c>
      <c r="H25" s="5">
        <v>0.22</v>
      </c>
      <c r="K25" s="24">
        <v>0.21</v>
      </c>
      <c r="L25" s="24" t="s">
        <v>198</v>
      </c>
      <c r="M25" s="5">
        <v>0.12</v>
      </c>
      <c r="N25" s="5">
        <v>0.28999999999999998</v>
      </c>
      <c r="U25" s="24">
        <v>0.09</v>
      </c>
      <c r="V25" s="5">
        <v>0.13</v>
      </c>
    </row>
    <row r="26" spans="1:22" x14ac:dyDescent="0.45">
      <c r="B26" s="5">
        <v>0.09</v>
      </c>
      <c r="C26" s="5">
        <v>0.1</v>
      </c>
      <c r="D26" s="5">
        <v>0.14000000000000001</v>
      </c>
      <c r="E26" s="5" t="s">
        <v>57</v>
      </c>
      <c r="F26" s="5">
        <v>0.12</v>
      </c>
      <c r="H26" s="5">
        <v>0.11</v>
      </c>
      <c r="K26" s="5">
        <v>0.18</v>
      </c>
      <c r="L26" s="5" t="s">
        <v>199</v>
      </c>
      <c r="M26" s="5">
        <v>0.18</v>
      </c>
      <c r="N26" s="5">
        <v>0.2</v>
      </c>
      <c r="U26" s="5">
        <v>0.09</v>
      </c>
      <c r="V26" s="5">
        <v>0.14000000000000001</v>
      </c>
    </row>
    <row r="27" spans="1:22" x14ac:dyDescent="0.45">
      <c r="B27" s="5">
        <v>0.09</v>
      </c>
      <c r="C27" s="5">
        <v>0.11</v>
      </c>
      <c r="D27" s="5">
        <v>0.18</v>
      </c>
      <c r="E27" s="5"/>
      <c r="F27" s="5">
        <v>7.0000000000000007E-2</v>
      </c>
      <c r="G27" s="19" t="s">
        <v>65</v>
      </c>
      <c r="H27" s="31">
        <v>0.67</v>
      </c>
      <c r="I27" s="31"/>
      <c r="J27" s="31"/>
      <c r="K27" s="31">
        <v>0.22</v>
      </c>
      <c r="L27" s="31"/>
      <c r="M27" s="31"/>
      <c r="N27" s="31">
        <v>0.08</v>
      </c>
      <c r="P27" s="4"/>
      <c r="Q27" s="4"/>
      <c r="R27" s="4"/>
      <c r="U27" s="5">
        <v>0.09</v>
      </c>
      <c r="V27" s="5">
        <v>0.15</v>
      </c>
    </row>
    <row r="28" spans="1:22" x14ac:dyDescent="0.45">
      <c r="B28" s="5">
        <v>0.08</v>
      </c>
      <c r="C28" s="5">
        <v>0.23</v>
      </c>
      <c r="D28" s="5">
        <v>0.2</v>
      </c>
      <c r="F28" s="5">
        <v>0.1</v>
      </c>
      <c r="G28" s="19" t="s">
        <v>66</v>
      </c>
      <c r="H28" s="31">
        <v>0.28000000000000003</v>
      </c>
      <c r="I28" s="31"/>
      <c r="J28" s="31"/>
      <c r="K28" s="31">
        <v>0.13</v>
      </c>
      <c r="L28" s="31"/>
      <c r="M28" s="31"/>
      <c r="N28" s="31"/>
      <c r="P28" s="4"/>
      <c r="Q28" s="4"/>
      <c r="R28" s="4"/>
      <c r="U28" s="5">
        <v>0.09</v>
      </c>
      <c r="V28" s="5">
        <v>0.15</v>
      </c>
    </row>
    <row r="29" spans="1:22" x14ac:dyDescent="0.45">
      <c r="B29" s="5">
        <v>7.0000000000000007E-2</v>
      </c>
      <c r="C29" s="5">
        <v>0.26</v>
      </c>
      <c r="D29" s="5">
        <v>0.32</v>
      </c>
      <c r="F29" s="24">
        <v>0.17</v>
      </c>
      <c r="G29" s="27" t="s">
        <v>63</v>
      </c>
      <c r="H29" s="32">
        <v>0.17</v>
      </c>
      <c r="I29" s="32"/>
      <c r="J29" s="32"/>
      <c r="K29" s="32">
        <v>0.21</v>
      </c>
      <c r="L29" s="32"/>
      <c r="M29" s="32"/>
      <c r="N29" s="32"/>
      <c r="P29" s="4"/>
      <c r="Q29" s="4"/>
      <c r="R29" s="4"/>
      <c r="U29" s="5">
        <v>0.09</v>
      </c>
      <c r="V29" s="5">
        <v>0.15</v>
      </c>
    </row>
    <row r="30" spans="1:22" x14ac:dyDescent="0.45">
      <c r="B30" s="5">
        <v>0.09</v>
      </c>
      <c r="C30" s="5">
        <v>0.16</v>
      </c>
      <c r="D30" s="5">
        <v>0.28000000000000003</v>
      </c>
      <c r="F30" s="23">
        <v>0.17</v>
      </c>
      <c r="G30" s="26" t="s">
        <v>64</v>
      </c>
      <c r="H30" s="32">
        <v>0.25</v>
      </c>
      <c r="I30" s="32"/>
      <c r="J30" s="32"/>
      <c r="K30" s="32">
        <v>0.21</v>
      </c>
      <c r="L30" s="32"/>
      <c r="M30" s="32"/>
      <c r="N30" s="32"/>
      <c r="P30" s="4"/>
      <c r="Q30" s="4"/>
      <c r="R30" s="4"/>
      <c r="U30" s="5">
        <v>0.09</v>
      </c>
      <c r="V30" s="5">
        <v>0.15</v>
      </c>
    </row>
    <row r="31" spans="1:22" x14ac:dyDescent="0.45">
      <c r="B31" s="5">
        <v>0.08</v>
      </c>
      <c r="D31" s="5">
        <v>0.23</v>
      </c>
      <c r="E31" s="5"/>
      <c r="F31" s="5">
        <v>0.12</v>
      </c>
      <c r="H31" s="33">
        <v>0.5</v>
      </c>
      <c r="I31" s="4"/>
      <c r="J31" s="4"/>
      <c r="K31" s="31">
        <v>0.21</v>
      </c>
      <c r="L31" s="31"/>
      <c r="M31" s="31"/>
      <c r="N31" s="31"/>
      <c r="P31" s="4"/>
      <c r="Q31" s="4"/>
      <c r="R31" s="4"/>
      <c r="U31" s="5">
        <v>0.09</v>
      </c>
      <c r="V31" s="5">
        <v>0.16</v>
      </c>
    </row>
    <row r="32" spans="1:22" x14ac:dyDescent="0.45">
      <c r="B32" s="5">
        <v>0.09</v>
      </c>
      <c r="D32" s="5">
        <v>0.16</v>
      </c>
      <c r="E32" s="5"/>
      <c r="F32" s="5">
        <v>0.16</v>
      </c>
      <c r="H32" s="33">
        <v>0.59</v>
      </c>
      <c r="I32" s="4"/>
      <c r="J32" s="4"/>
      <c r="K32" s="31">
        <v>0.2</v>
      </c>
      <c r="L32" s="31"/>
      <c r="M32" s="31"/>
      <c r="N32" s="31"/>
      <c r="P32" s="4"/>
      <c r="Q32" s="4"/>
      <c r="R32" s="4"/>
      <c r="U32" s="23">
        <v>0.1</v>
      </c>
      <c r="V32" s="5">
        <v>0.16</v>
      </c>
    </row>
    <row r="33" spans="1:22" x14ac:dyDescent="0.45">
      <c r="B33" s="5">
        <v>0.1</v>
      </c>
      <c r="D33" s="5">
        <v>0.31</v>
      </c>
      <c r="E33" s="5"/>
      <c r="F33" s="5">
        <v>0.1</v>
      </c>
      <c r="H33" s="33">
        <v>0.1</v>
      </c>
      <c r="I33" s="4"/>
      <c r="J33" s="4"/>
      <c r="K33" s="31">
        <v>0.16</v>
      </c>
      <c r="L33" s="31"/>
      <c r="M33" s="31"/>
      <c r="N33" s="31"/>
      <c r="P33" s="4"/>
      <c r="Q33" s="4"/>
      <c r="R33" s="4"/>
      <c r="U33" s="31">
        <v>0.1</v>
      </c>
      <c r="V33" s="5">
        <v>0.16</v>
      </c>
    </row>
    <row r="34" spans="1:22" x14ac:dyDescent="0.45">
      <c r="B34" s="5">
        <v>0.15</v>
      </c>
      <c r="D34" s="5">
        <v>0.12</v>
      </c>
      <c r="E34" s="5"/>
      <c r="F34" s="5">
        <v>0.15</v>
      </c>
      <c r="H34" s="33">
        <v>0.18</v>
      </c>
      <c r="I34" s="4"/>
      <c r="J34" s="4"/>
      <c r="K34" s="31">
        <v>0.16</v>
      </c>
      <c r="L34" s="31"/>
      <c r="M34" s="31"/>
      <c r="N34" s="31"/>
      <c r="P34" s="4"/>
      <c r="Q34" s="4"/>
      <c r="R34" s="4"/>
      <c r="U34" s="5">
        <v>0.1</v>
      </c>
      <c r="V34" s="5">
        <v>0.16</v>
      </c>
    </row>
    <row r="35" spans="1:22" x14ac:dyDescent="0.45">
      <c r="B35" s="5">
        <v>0.13</v>
      </c>
      <c r="D35" s="5">
        <v>0.16</v>
      </c>
      <c r="F35" s="5"/>
      <c r="H35" s="33">
        <v>0.18</v>
      </c>
      <c r="I35" s="4"/>
      <c r="J35" s="4"/>
      <c r="K35" s="115">
        <v>0.19</v>
      </c>
      <c r="L35" s="115" t="s">
        <v>201</v>
      </c>
      <c r="M35" s="31"/>
      <c r="N35" s="31"/>
      <c r="P35" s="4"/>
      <c r="Q35" s="4"/>
      <c r="R35" s="4"/>
      <c r="U35" s="24">
        <v>0.1</v>
      </c>
      <c r="V35" s="5">
        <v>0.16</v>
      </c>
    </row>
    <row r="36" spans="1:22" x14ac:dyDescent="0.45">
      <c r="B36" s="5">
        <v>0.11</v>
      </c>
      <c r="D36" s="5">
        <v>0.16</v>
      </c>
      <c r="F36" s="5"/>
      <c r="H36" s="33">
        <v>0.18</v>
      </c>
      <c r="I36" s="4"/>
      <c r="J36" s="4"/>
      <c r="K36" s="31">
        <v>0.4</v>
      </c>
      <c r="L36" s="31" t="s">
        <v>202</v>
      </c>
      <c r="M36" s="31"/>
      <c r="N36" s="31"/>
      <c r="P36" s="4"/>
      <c r="Q36" s="4"/>
      <c r="R36" s="4"/>
      <c r="U36" s="5">
        <v>0.1</v>
      </c>
      <c r="V36" s="5">
        <v>0.16</v>
      </c>
    </row>
    <row r="37" spans="1:22" x14ac:dyDescent="0.45">
      <c r="B37" s="5">
        <v>0.1</v>
      </c>
      <c r="D37" s="5">
        <v>0.28999999999999998</v>
      </c>
      <c r="F37" s="5"/>
      <c r="H37" s="4"/>
      <c r="I37" s="4"/>
      <c r="J37" s="4"/>
      <c r="K37" s="31">
        <v>0.24</v>
      </c>
      <c r="L37" s="31"/>
      <c r="M37" s="31"/>
      <c r="N37" s="31"/>
      <c r="P37" s="4"/>
      <c r="Q37" s="4"/>
      <c r="R37" s="4"/>
      <c r="U37" s="5">
        <v>0.1</v>
      </c>
      <c r="V37" s="23">
        <v>0.17</v>
      </c>
    </row>
    <row r="38" spans="1:22" x14ac:dyDescent="0.45">
      <c r="B38" s="5">
        <v>0.12</v>
      </c>
      <c r="D38" s="5">
        <v>0.19</v>
      </c>
      <c r="F38" s="5"/>
      <c r="H38" s="4"/>
      <c r="I38" s="4"/>
      <c r="J38" s="4"/>
      <c r="K38" s="31">
        <v>0.22</v>
      </c>
      <c r="L38" s="31"/>
      <c r="M38" s="31"/>
      <c r="N38" s="31"/>
      <c r="P38" s="4"/>
      <c r="Q38" s="4"/>
      <c r="R38" s="4"/>
      <c r="U38" s="5">
        <v>0.11</v>
      </c>
      <c r="V38" s="5">
        <v>0.17</v>
      </c>
    </row>
    <row r="39" spans="1:22" x14ac:dyDescent="0.45">
      <c r="B39" s="5">
        <v>0.16</v>
      </c>
      <c r="D39" s="5">
        <v>0.33</v>
      </c>
      <c r="F39" s="5"/>
      <c r="H39" s="4"/>
      <c r="I39" s="4"/>
      <c r="J39" s="4"/>
      <c r="K39" s="31">
        <v>0.21</v>
      </c>
      <c r="L39" s="31"/>
      <c r="M39" s="31"/>
      <c r="N39" s="31"/>
      <c r="P39" s="4"/>
      <c r="Q39" s="4"/>
      <c r="R39" s="4"/>
      <c r="U39" s="5">
        <v>0.12</v>
      </c>
      <c r="V39" s="5">
        <v>0.17</v>
      </c>
    </row>
    <row r="40" spans="1:22" x14ac:dyDescent="0.45">
      <c r="B40" s="5">
        <v>0.18</v>
      </c>
      <c r="D40" s="5">
        <v>0.25</v>
      </c>
      <c r="F40" s="5"/>
      <c r="H40" s="4"/>
      <c r="I40" s="4"/>
      <c r="J40" s="4"/>
      <c r="K40" s="31">
        <v>0.13</v>
      </c>
      <c r="L40" s="31"/>
      <c r="M40" s="31"/>
      <c r="N40" s="31"/>
      <c r="P40" s="4"/>
      <c r="Q40" s="4"/>
      <c r="R40" s="4"/>
      <c r="U40" s="31">
        <v>0.12</v>
      </c>
      <c r="V40" s="5">
        <v>0.18</v>
      </c>
    </row>
    <row r="41" spans="1:22" x14ac:dyDescent="0.45">
      <c r="B41" s="5">
        <v>0.24</v>
      </c>
      <c r="D41" s="5">
        <v>0.21</v>
      </c>
      <c r="F41" s="5"/>
      <c r="H41" s="4"/>
      <c r="I41" s="4"/>
      <c r="J41" s="4"/>
      <c r="K41" s="31">
        <v>0.1</v>
      </c>
      <c r="L41" s="31"/>
      <c r="M41" s="31"/>
      <c r="N41" s="31"/>
      <c r="P41" s="4"/>
      <c r="Q41" s="4"/>
      <c r="R41" s="4"/>
      <c r="U41" s="31">
        <v>0.12</v>
      </c>
      <c r="V41" s="5">
        <v>0.18</v>
      </c>
    </row>
    <row r="42" spans="1:22" x14ac:dyDescent="0.45">
      <c r="B42" s="5">
        <v>0.16</v>
      </c>
      <c r="D42" s="5">
        <v>0.28999999999999998</v>
      </c>
      <c r="F42" s="5"/>
      <c r="H42" s="4"/>
      <c r="I42" s="4"/>
      <c r="J42" s="4"/>
      <c r="K42" s="31">
        <v>0.12</v>
      </c>
      <c r="L42" s="31"/>
      <c r="M42" s="31"/>
      <c r="N42" s="31"/>
      <c r="P42" s="4"/>
      <c r="Q42" s="4"/>
      <c r="R42" s="4"/>
      <c r="U42" s="5">
        <v>0.12</v>
      </c>
      <c r="V42" s="5">
        <v>0.18</v>
      </c>
    </row>
    <row r="43" spans="1:22" x14ac:dyDescent="0.45">
      <c r="B43" s="5">
        <v>0.14000000000000001</v>
      </c>
      <c r="D43" s="5">
        <v>0.31</v>
      </c>
      <c r="E43" t="s">
        <v>61</v>
      </c>
      <c r="F43" s="5"/>
      <c r="H43" s="4"/>
      <c r="I43" s="4"/>
      <c r="J43" s="4"/>
      <c r="K43" s="31">
        <v>0.13</v>
      </c>
      <c r="L43" s="31"/>
      <c r="M43" s="31"/>
      <c r="N43" s="31"/>
      <c r="P43" s="4"/>
      <c r="Q43" s="4"/>
      <c r="R43" s="4"/>
      <c r="U43" s="31">
        <v>0.13</v>
      </c>
      <c r="V43" s="5">
        <v>0.19</v>
      </c>
    </row>
    <row r="44" spans="1:22" x14ac:dyDescent="0.45">
      <c r="B44" s="5">
        <v>0.16</v>
      </c>
      <c r="C44" s="5"/>
      <c r="D44" s="5">
        <v>0.3</v>
      </c>
      <c r="E44" s="5" t="s">
        <v>62</v>
      </c>
      <c r="F44" s="5"/>
      <c r="H44" s="4"/>
      <c r="I44" s="4"/>
      <c r="J44" s="4"/>
      <c r="K44" s="31">
        <v>0.12</v>
      </c>
      <c r="L44" s="31"/>
      <c r="M44" s="31"/>
      <c r="N44" s="31"/>
      <c r="P44" s="4"/>
      <c r="Q44" s="4"/>
      <c r="R44" s="4"/>
      <c r="U44" s="31">
        <v>0.13</v>
      </c>
      <c r="V44" s="5">
        <v>0.19</v>
      </c>
    </row>
    <row r="45" spans="1:22" x14ac:dyDescent="0.45">
      <c r="B45" s="5">
        <v>0.17</v>
      </c>
      <c r="C45" s="5"/>
      <c r="F45" s="5"/>
      <c r="H45" s="4"/>
      <c r="I45" s="4"/>
      <c r="J45" s="4"/>
      <c r="K45" s="31">
        <v>0.15</v>
      </c>
      <c r="L45" s="31"/>
      <c r="M45" s="31"/>
      <c r="N45" s="31"/>
      <c r="P45" s="4"/>
      <c r="Q45" s="4"/>
      <c r="R45" s="4"/>
      <c r="U45" s="31">
        <v>0.13</v>
      </c>
      <c r="V45" s="23">
        <v>0.2</v>
      </c>
    </row>
    <row r="46" spans="1:22" x14ac:dyDescent="0.45">
      <c r="B46" s="5">
        <v>0.16</v>
      </c>
      <c r="C46" s="5"/>
      <c r="F46" s="5"/>
      <c r="H46" s="4"/>
      <c r="I46" s="4"/>
      <c r="J46" s="4"/>
      <c r="K46" s="31">
        <v>0.09</v>
      </c>
      <c r="L46" s="31"/>
      <c r="M46" s="31"/>
      <c r="N46" s="31"/>
      <c r="P46" s="4"/>
      <c r="Q46" s="4"/>
      <c r="R46" s="4"/>
      <c r="U46" s="31">
        <v>0.13</v>
      </c>
      <c r="V46" s="5">
        <v>0.2</v>
      </c>
    </row>
    <row r="47" spans="1:22" x14ac:dyDescent="0.45">
      <c r="B47" s="5">
        <v>0.17</v>
      </c>
      <c r="C47" s="5"/>
      <c r="E47" s="5"/>
      <c r="F47" s="5"/>
      <c r="H47" s="4"/>
      <c r="I47" s="4"/>
      <c r="J47" s="4"/>
      <c r="K47" s="31">
        <v>0.13</v>
      </c>
      <c r="L47" s="31" t="s">
        <v>205</v>
      </c>
      <c r="M47" s="31"/>
      <c r="N47" s="31"/>
      <c r="P47" s="4"/>
      <c r="Q47" s="4"/>
      <c r="R47" s="4"/>
      <c r="U47" s="5">
        <v>0.13</v>
      </c>
      <c r="V47" s="5">
        <v>0.2</v>
      </c>
    </row>
    <row r="48" spans="1:22" x14ac:dyDescent="0.45">
      <c r="A48" t="s">
        <v>18</v>
      </c>
      <c r="B48" s="5">
        <v>0.13</v>
      </c>
      <c r="C48" s="5"/>
      <c r="E48" s="5"/>
      <c r="F48" s="5"/>
      <c r="H48" s="4"/>
      <c r="I48" s="4"/>
      <c r="J48" s="4"/>
      <c r="K48" s="116">
        <v>0.16</v>
      </c>
      <c r="L48" s="116" t="s">
        <v>206</v>
      </c>
      <c r="M48" s="31"/>
      <c r="N48" s="31"/>
      <c r="P48" s="4"/>
      <c r="Q48" s="4"/>
      <c r="R48" s="4"/>
      <c r="U48" s="20">
        <v>0.13</v>
      </c>
      <c r="V48" s="5">
        <v>0.2</v>
      </c>
    </row>
    <row r="49" spans="1:22" x14ac:dyDescent="0.45">
      <c r="A49" t="s">
        <v>19</v>
      </c>
      <c r="B49" s="5">
        <v>0.2</v>
      </c>
      <c r="C49" s="5"/>
      <c r="E49" s="5"/>
      <c r="F49" s="5"/>
      <c r="H49" s="4"/>
      <c r="I49" s="4"/>
      <c r="J49" s="4"/>
      <c r="K49" s="31"/>
      <c r="L49" s="31"/>
      <c r="M49" s="31"/>
      <c r="N49" s="31"/>
      <c r="P49" s="4"/>
      <c r="Q49" s="4"/>
      <c r="R49" s="4"/>
      <c r="U49" s="5">
        <v>0.13</v>
      </c>
      <c r="V49" s="5">
        <v>0.2</v>
      </c>
    </row>
    <row r="50" spans="1:22" x14ac:dyDescent="0.45">
      <c r="A50" t="s">
        <v>20</v>
      </c>
      <c r="B50" s="5">
        <v>0.2</v>
      </c>
      <c r="C50" s="5"/>
      <c r="E50" s="5"/>
      <c r="F50" s="5"/>
      <c r="H50" s="4"/>
      <c r="I50" s="4"/>
      <c r="J50" s="4"/>
      <c r="K50" s="31"/>
      <c r="L50" s="31"/>
      <c r="M50" s="31"/>
      <c r="N50" s="31"/>
      <c r="P50" s="4"/>
      <c r="Q50" s="4"/>
      <c r="R50" s="4"/>
      <c r="U50" s="5">
        <v>0.14000000000000001</v>
      </c>
      <c r="V50" s="5">
        <v>0.21</v>
      </c>
    </row>
    <row r="51" spans="1:22" x14ac:dyDescent="0.45">
      <c r="A51" t="s">
        <v>21</v>
      </c>
      <c r="B51" s="5">
        <v>0.23</v>
      </c>
      <c r="C51" s="5"/>
      <c r="D51" s="5"/>
      <c r="E51" s="5"/>
      <c r="F51" s="5"/>
      <c r="H51" s="4"/>
      <c r="I51" s="4"/>
      <c r="J51" s="4"/>
      <c r="K51" s="31"/>
      <c r="L51" s="31"/>
      <c r="M51" s="31"/>
      <c r="N51" s="31"/>
      <c r="P51" s="4"/>
      <c r="Q51" s="4"/>
      <c r="R51" s="4"/>
      <c r="U51" s="5">
        <v>0.14000000000000001</v>
      </c>
      <c r="V51" s="5">
        <v>0.21</v>
      </c>
    </row>
    <row r="52" spans="1:22" x14ac:dyDescent="0.45">
      <c r="B52" s="5">
        <v>0.13</v>
      </c>
      <c r="C52" s="5"/>
      <c r="D52" s="5"/>
      <c r="E52" s="5"/>
      <c r="F52" s="5"/>
      <c r="H52" s="4"/>
      <c r="I52" s="4"/>
      <c r="J52" s="4"/>
      <c r="K52" s="31"/>
      <c r="L52" s="31"/>
      <c r="M52" s="31"/>
      <c r="N52" s="31"/>
      <c r="P52" s="4"/>
      <c r="Q52" s="4"/>
      <c r="R52" s="4"/>
      <c r="U52" s="31">
        <v>0.15</v>
      </c>
      <c r="V52" s="5">
        <v>0.21</v>
      </c>
    </row>
    <row r="53" spans="1:22" x14ac:dyDescent="0.45">
      <c r="B53" s="5">
        <v>0.15</v>
      </c>
      <c r="C53" s="5"/>
      <c r="D53" s="5"/>
      <c r="E53" s="5"/>
      <c r="F53" s="5"/>
      <c r="H53" s="4"/>
      <c r="I53" s="4"/>
      <c r="J53" s="4"/>
      <c r="K53" s="31"/>
      <c r="L53" s="31"/>
      <c r="M53" s="31"/>
      <c r="N53" s="31"/>
      <c r="P53" s="4"/>
      <c r="Q53" s="4"/>
      <c r="R53" s="4"/>
      <c r="U53" s="5">
        <v>0.15</v>
      </c>
      <c r="V53" s="5">
        <v>0.21</v>
      </c>
    </row>
    <row r="54" spans="1:22" x14ac:dyDescent="0.45">
      <c r="B54" s="5"/>
      <c r="C54" s="5"/>
      <c r="D54" s="5"/>
      <c r="E54" s="5"/>
      <c r="F54" s="5"/>
      <c r="H54" s="4"/>
      <c r="I54" s="4"/>
      <c r="J54" s="4"/>
      <c r="K54" s="31"/>
      <c r="L54" s="31"/>
      <c r="M54" s="31"/>
      <c r="N54" s="31"/>
      <c r="P54" s="4"/>
      <c r="Q54" s="4"/>
      <c r="R54" s="4"/>
      <c r="U54" s="5">
        <v>0.15</v>
      </c>
      <c r="V54" s="5">
        <v>0.21</v>
      </c>
    </row>
    <row r="55" spans="1:22" x14ac:dyDescent="0.45">
      <c r="B55" s="5"/>
      <c r="C55" s="5"/>
      <c r="D55" s="5"/>
      <c r="E55" s="5"/>
      <c r="F55" s="5"/>
      <c r="H55" s="4"/>
      <c r="I55" s="4"/>
      <c r="J55" s="4"/>
      <c r="K55" s="31"/>
      <c r="L55" s="31"/>
      <c r="M55" s="31"/>
      <c r="N55" s="31"/>
      <c r="P55" s="4"/>
      <c r="Q55" s="4"/>
      <c r="R55" s="4"/>
      <c r="U55" s="5">
        <v>0.16</v>
      </c>
      <c r="V55" s="5">
        <v>0.22</v>
      </c>
    </row>
    <row r="56" spans="1:22" s="34" customFormat="1" x14ac:dyDescent="0.45">
      <c r="A56" s="34" t="s">
        <v>22</v>
      </c>
      <c r="B56" s="35">
        <f>SUM(B11:B53)/43</f>
        <v>0.1167441860465117</v>
      </c>
      <c r="C56" s="35">
        <f>SUM(C11:C30)/20</f>
        <v>0.23550000000000004</v>
      </c>
      <c r="D56" s="35">
        <f>SUM(D11:D44)/34</f>
        <v>0.22117647058823534</v>
      </c>
      <c r="E56" s="35"/>
      <c r="F56" s="35">
        <f>SUM(F$11:F$34)/24</f>
        <v>0.14958333333333335</v>
      </c>
      <c r="H56" s="35">
        <f>SUM(H$11:H$36)/26</f>
        <v>0.29769230769230764</v>
      </c>
      <c r="I56" s="36"/>
      <c r="J56" s="36"/>
      <c r="K56" s="35">
        <f>SUM(K$11:K$48)/K60</f>
        <v>0.19368421052631585</v>
      </c>
      <c r="L56" s="113"/>
      <c r="M56" s="35">
        <f>SUM(M$11:M$26)/M60</f>
        <v>0.13750000000000001</v>
      </c>
      <c r="N56" s="35">
        <f>SUM(N$11:N$27)/N60</f>
        <v>0.21411764705882355</v>
      </c>
      <c r="P56" s="36"/>
      <c r="Q56" s="36"/>
      <c r="R56" s="36"/>
      <c r="U56" s="31">
        <v>0.16</v>
      </c>
      <c r="V56" s="20">
        <v>0.22</v>
      </c>
    </row>
    <row r="57" spans="1:22" x14ac:dyDescent="0.45">
      <c r="A57" t="s">
        <v>23</v>
      </c>
      <c r="B57" s="5">
        <f>MEDIAN(B10:B53)</f>
        <v>0.1</v>
      </c>
      <c r="C57" s="5">
        <f>MEDIAN(C10:C30)</f>
        <v>0.19</v>
      </c>
      <c r="D57" s="5">
        <f>MEDIAN(D10:D44)</f>
        <v>0.21</v>
      </c>
      <c r="E57" s="5"/>
      <c r="F57" s="5">
        <f>MEDIAN(F10:F34)</f>
        <v>0.15</v>
      </c>
      <c r="H57" s="5">
        <f>MEDIAN(H$10:H$36)</f>
        <v>0.19</v>
      </c>
      <c r="I57" s="4"/>
      <c r="J57" s="4"/>
      <c r="K57" s="5">
        <f>MEDIAN(K$10:K$48)</f>
        <v>0.19</v>
      </c>
      <c r="L57" s="31"/>
      <c r="M57" s="5">
        <f>MEDIAN(M$10:M$26)</f>
        <v>0.15</v>
      </c>
      <c r="N57" s="5">
        <f>MEDIAN(N$10:N$27)</f>
        <v>0.2</v>
      </c>
      <c r="P57" s="4"/>
      <c r="Q57" s="4"/>
      <c r="R57" s="4"/>
      <c r="U57" s="31">
        <v>0.16</v>
      </c>
      <c r="V57" s="20">
        <v>0.23</v>
      </c>
    </row>
    <row r="58" spans="1:22" s="34" customFormat="1" x14ac:dyDescent="0.45">
      <c r="A58" s="34" t="s">
        <v>25</v>
      </c>
      <c r="B58" s="34">
        <f>SMALL(B$11:B$53,1)</f>
        <v>0.05</v>
      </c>
      <c r="C58" s="34">
        <f>SMALL(C$11:C$30,1)</f>
        <v>0.08</v>
      </c>
      <c r="D58" s="34">
        <f>SMALL(D$11:D$44,1)</f>
        <v>0.1</v>
      </c>
      <c r="E58" s="35"/>
      <c r="F58" s="34">
        <f>SMALL(F$11:F$34,1)</f>
        <v>7.0000000000000007E-2</v>
      </c>
      <c r="H58" s="34">
        <f>SMALL(H$11:H$36,1)</f>
        <v>0.05</v>
      </c>
      <c r="I58" s="36"/>
      <c r="J58" s="36"/>
      <c r="K58" s="34">
        <f>SMALL(K$11:K$48,1)</f>
        <v>0.09</v>
      </c>
      <c r="L58" s="113"/>
      <c r="M58" s="34">
        <f>SMALL(M$11:M$36,1)</f>
        <v>0.05</v>
      </c>
      <c r="N58" s="34">
        <f>SMALL(N$11:N$36,1)</f>
        <v>0.08</v>
      </c>
      <c r="P58" s="36"/>
      <c r="Q58" s="36"/>
      <c r="R58" s="36"/>
      <c r="U58" s="31">
        <v>0.16</v>
      </c>
      <c r="V58" s="5">
        <v>0.23</v>
      </c>
    </row>
    <row r="59" spans="1:22" x14ac:dyDescent="0.45">
      <c r="A59" t="s">
        <v>24</v>
      </c>
      <c r="B59" s="5">
        <f>SMALL(B$11:B$53,43)</f>
        <v>0.24</v>
      </c>
      <c r="C59" s="5">
        <f>SMALL(C$11:C$30,20)</f>
        <v>0.8</v>
      </c>
      <c r="D59" s="5">
        <f>SMALL(D$11:D$44,34)</f>
        <v>0.39</v>
      </c>
      <c r="E59" s="5"/>
      <c r="F59" s="5">
        <f>SMALL(F$11:F$34,24)</f>
        <v>0.25</v>
      </c>
      <c r="H59" s="5">
        <f>SMALL(H$11:H$36,26)</f>
        <v>1.41</v>
      </c>
      <c r="I59" s="4"/>
      <c r="J59" s="4"/>
      <c r="K59" s="5">
        <f>SMALL(K$11:K$48,K60)</f>
        <v>0.4</v>
      </c>
      <c r="L59" s="31"/>
      <c r="M59" s="5">
        <f>SMALL(M$11:M$36,M60)</f>
        <v>0.22</v>
      </c>
      <c r="N59" s="5">
        <f>SMALL(N$11:N$36,N60)</f>
        <v>0.35</v>
      </c>
      <c r="P59" s="4"/>
      <c r="Q59" s="4"/>
      <c r="R59" s="4"/>
      <c r="U59" s="5">
        <v>0.16</v>
      </c>
      <c r="V59" s="5">
        <v>0.24</v>
      </c>
    </row>
    <row r="60" spans="1:22" s="34" customFormat="1" x14ac:dyDescent="0.45">
      <c r="A60" s="34" t="s">
        <v>52</v>
      </c>
      <c r="B60" s="37">
        <v>43</v>
      </c>
      <c r="C60" s="37">
        <v>20</v>
      </c>
      <c r="D60" s="37">
        <v>34</v>
      </c>
      <c r="E60" s="35"/>
      <c r="F60" s="37">
        <v>24</v>
      </c>
      <c r="H60" s="37">
        <v>26</v>
      </c>
      <c r="I60" s="36"/>
      <c r="J60" s="36"/>
      <c r="K60" s="37">
        <v>38</v>
      </c>
      <c r="L60" s="113"/>
      <c r="M60" s="37">
        <v>16</v>
      </c>
      <c r="N60" s="37">
        <v>17</v>
      </c>
      <c r="P60" s="36"/>
      <c r="Q60" s="36"/>
      <c r="R60" s="36"/>
      <c r="U60" s="5">
        <v>0.16</v>
      </c>
      <c r="V60" s="5">
        <v>0.24</v>
      </c>
    </row>
    <row r="61" spans="1:22" x14ac:dyDescent="0.45">
      <c r="B61" s="16"/>
      <c r="C61" s="5"/>
      <c r="D61" s="5"/>
      <c r="E61" s="5"/>
      <c r="F61" s="5"/>
      <c r="H61" s="4"/>
      <c r="I61" s="4"/>
      <c r="J61" s="4"/>
      <c r="K61" s="31"/>
      <c r="L61" s="31"/>
      <c r="M61" s="31"/>
      <c r="N61" s="31"/>
      <c r="P61" s="4"/>
      <c r="Q61" s="4"/>
      <c r="R61" s="4"/>
      <c r="U61" s="5">
        <v>0.16</v>
      </c>
      <c r="V61" s="5">
        <v>0.25</v>
      </c>
    </row>
    <row r="62" spans="1:22" x14ac:dyDescent="0.45">
      <c r="A62" t="s">
        <v>28</v>
      </c>
      <c r="B62" s="5">
        <f>SUM(B$11:B$33)/23</f>
        <v>7.9565217391304385E-2</v>
      </c>
      <c r="H62" s="4"/>
      <c r="I62" s="4"/>
      <c r="J62" s="4"/>
      <c r="K62" s="4"/>
      <c r="L62" s="4"/>
      <c r="M62" s="4"/>
      <c r="N62" s="4"/>
      <c r="P62" s="4"/>
      <c r="Q62" s="4"/>
      <c r="R62" s="4"/>
      <c r="U62" s="5">
        <v>0.16</v>
      </c>
      <c r="V62" s="5">
        <v>0.27</v>
      </c>
    </row>
    <row r="63" spans="1:22" x14ac:dyDescent="0.45">
      <c r="A63" t="s">
        <v>29</v>
      </c>
      <c r="B63" s="5">
        <f>MEDIAN(B$11:B$33)</f>
        <v>0.08</v>
      </c>
      <c r="H63" s="4"/>
      <c r="I63" s="4"/>
      <c r="J63" s="4"/>
      <c r="K63" s="4"/>
      <c r="L63" s="4"/>
      <c r="M63" s="4"/>
      <c r="N63" s="4"/>
      <c r="P63" s="4"/>
      <c r="Q63" s="4"/>
      <c r="R63" s="4"/>
      <c r="U63" s="5">
        <v>0.17</v>
      </c>
      <c r="V63" s="5">
        <v>0.28000000000000003</v>
      </c>
    </row>
    <row r="64" spans="1:22" x14ac:dyDescent="0.45">
      <c r="A64" t="s">
        <v>52</v>
      </c>
      <c r="B64" s="16">
        <v>23</v>
      </c>
      <c r="C64" s="5"/>
      <c r="D64" s="5"/>
      <c r="E64" s="5"/>
      <c r="F64" s="5"/>
      <c r="H64" s="4"/>
      <c r="I64" s="4"/>
      <c r="J64" s="4"/>
      <c r="K64" s="4"/>
      <c r="L64" s="4"/>
      <c r="M64" s="4"/>
      <c r="N64" s="4"/>
      <c r="P64" s="4"/>
      <c r="Q64" s="4"/>
      <c r="R64" s="4"/>
      <c r="U64" s="5">
        <v>0.17</v>
      </c>
      <c r="V64" s="5">
        <v>0.28999999999999998</v>
      </c>
    </row>
    <row r="65" spans="1:22" x14ac:dyDescent="0.45">
      <c r="B65" s="16"/>
      <c r="C65" s="5"/>
      <c r="D65" s="5"/>
      <c r="E65" s="5"/>
      <c r="F65" s="5"/>
      <c r="H65" s="4"/>
      <c r="I65" s="4"/>
      <c r="J65" s="4"/>
      <c r="K65" s="4"/>
      <c r="L65" s="4"/>
      <c r="M65" s="4"/>
      <c r="N65" s="4"/>
      <c r="P65" s="4"/>
      <c r="Q65" s="4"/>
      <c r="R65" s="4"/>
      <c r="U65" s="5">
        <v>0.18</v>
      </c>
      <c r="V65" s="5">
        <v>0.28999999999999998</v>
      </c>
    </row>
    <row r="66" spans="1:22" x14ac:dyDescent="0.45">
      <c r="A66" t="s">
        <v>26</v>
      </c>
      <c r="B66" s="5">
        <f>SUM(B$34:B$53)/20</f>
        <v>0.15949999999999998</v>
      </c>
      <c r="C66" s="5"/>
      <c r="D66" s="5"/>
      <c r="E66" s="5"/>
      <c r="F66" s="5"/>
      <c r="H66" s="4"/>
      <c r="I66" s="4"/>
      <c r="J66" s="4"/>
      <c r="K66" s="4"/>
      <c r="L66" s="4"/>
      <c r="M66" s="4"/>
      <c r="N66" s="4"/>
      <c r="P66" s="4"/>
      <c r="Q66" s="4"/>
      <c r="R66" s="4"/>
      <c r="U66" s="5">
        <v>0.18</v>
      </c>
      <c r="V66" s="5">
        <v>0.28999999999999998</v>
      </c>
    </row>
    <row r="67" spans="1:22" x14ac:dyDescent="0.45">
      <c r="A67" t="s">
        <v>27</v>
      </c>
      <c r="B67" s="5">
        <f>MEDIAN(B$34:B$53)</f>
        <v>0.16</v>
      </c>
      <c r="C67" s="5"/>
      <c r="D67" s="5"/>
      <c r="E67" s="5"/>
      <c r="F67" s="5"/>
      <c r="H67" s="4"/>
      <c r="I67" s="4"/>
      <c r="J67" s="4"/>
      <c r="K67" s="4"/>
      <c r="L67" s="4"/>
      <c r="M67" s="4"/>
      <c r="N67" s="4"/>
      <c r="P67" s="4"/>
      <c r="Q67" s="4"/>
      <c r="R67" s="4"/>
      <c r="U67" s="5">
        <v>0.18</v>
      </c>
      <c r="V67" s="5">
        <v>0.3</v>
      </c>
    </row>
    <row r="68" spans="1:22" x14ac:dyDescent="0.45">
      <c r="A68" t="s">
        <v>30</v>
      </c>
      <c r="B68" s="5"/>
      <c r="C68" s="5"/>
      <c r="D68" s="5"/>
      <c r="E68" s="5"/>
      <c r="F68" s="5"/>
      <c r="H68" s="4"/>
      <c r="I68" s="4"/>
      <c r="J68" s="4"/>
      <c r="K68" s="4"/>
      <c r="L68" s="4"/>
      <c r="M68" s="4"/>
      <c r="N68" s="4"/>
      <c r="P68" s="4"/>
      <c r="Q68" s="4"/>
      <c r="R68" s="4"/>
      <c r="U68" s="5">
        <v>0.19</v>
      </c>
      <c r="V68" s="5">
        <v>0.31</v>
      </c>
    </row>
    <row r="69" spans="1:22" x14ac:dyDescent="0.45">
      <c r="A69" t="s">
        <v>52</v>
      </c>
      <c r="B69">
        <v>20</v>
      </c>
      <c r="H69" s="4"/>
      <c r="I69" s="4"/>
      <c r="J69" s="4"/>
      <c r="K69" s="4"/>
      <c r="L69" s="4"/>
      <c r="M69" s="4"/>
      <c r="N69" s="4"/>
      <c r="P69" s="4"/>
      <c r="Q69" s="4"/>
      <c r="R69" s="4"/>
      <c r="U69" s="31">
        <v>0.19</v>
      </c>
      <c r="V69" s="5">
        <v>0.31</v>
      </c>
    </row>
    <row r="70" spans="1:22" x14ac:dyDescent="0.45">
      <c r="H70" s="4"/>
      <c r="I70" s="4"/>
      <c r="J70" s="4"/>
      <c r="K70" s="4"/>
      <c r="L70" s="4"/>
      <c r="M70" s="4"/>
      <c r="N70" s="4"/>
      <c r="P70" s="4"/>
      <c r="Q70" s="4"/>
      <c r="R70" s="4"/>
      <c r="U70" s="5">
        <v>0.2</v>
      </c>
      <c r="V70" s="5">
        <v>0.32</v>
      </c>
    </row>
    <row r="71" spans="1:22" x14ac:dyDescent="0.45">
      <c r="H71" s="4"/>
      <c r="I71" s="4"/>
      <c r="J71" s="4"/>
      <c r="K71" s="4"/>
      <c r="L71" s="4"/>
      <c r="M71" s="4"/>
      <c r="N71" s="4"/>
      <c r="P71" s="4"/>
      <c r="Q71" s="4"/>
      <c r="R71" s="4"/>
      <c r="U71" s="5">
        <v>0.2</v>
      </c>
      <c r="V71" s="5">
        <v>0.32</v>
      </c>
    </row>
    <row r="72" spans="1:22" x14ac:dyDescent="0.45">
      <c r="H72" s="4"/>
      <c r="I72" s="4"/>
      <c r="J72" s="4"/>
      <c r="K72" s="4"/>
      <c r="L72" s="4"/>
      <c r="M72" s="4"/>
      <c r="N72" s="4"/>
      <c r="P72" s="4"/>
      <c r="Q72" s="4"/>
      <c r="R72" s="4"/>
      <c r="U72" s="31">
        <v>0.2</v>
      </c>
      <c r="V72" s="5">
        <v>0.32</v>
      </c>
    </row>
    <row r="73" spans="1:22" x14ac:dyDescent="0.45">
      <c r="H73" s="4"/>
      <c r="I73" s="4"/>
      <c r="J73" s="4"/>
      <c r="K73" s="4"/>
      <c r="L73" s="4"/>
      <c r="M73" s="4"/>
      <c r="N73" s="4"/>
      <c r="P73" s="4"/>
      <c r="Q73" s="4"/>
      <c r="R73" s="4"/>
      <c r="U73" s="5">
        <v>0.2</v>
      </c>
      <c r="V73" s="5">
        <v>0.33</v>
      </c>
    </row>
    <row r="74" spans="1:22" x14ac:dyDescent="0.45">
      <c r="H74" s="4"/>
      <c r="I74" s="4"/>
      <c r="J74" s="4"/>
      <c r="K74" s="4"/>
      <c r="L74" s="4"/>
      <c r="M74" s="4"/>
      <c r="N74" s="4"/>
      <c r="P74" s="4"/>
      <c r="Q74" s="4"/>
      <c r="R74" s="4"/>
      <c r="U74" s="5">
        <v>0.2</v>
      </c>
      <c r="V74" s="5">
        <v>0.33</v>
      </c>
    </row>
    <row r="75" spans="1:22" x14ac:dyDescent="0.45">
      <c r="H75" s="4"/>
      <c r="I75" s="4"/>
      <c r="J75" s="4"/>
      <c r="K75" s="4"/>
      <c r="L75" s="4"/>
      <c r="M75" s="4"/>
      <c r="N75" s="4"/>
      <c r="P75" s="4"/>
      <c r="Q75" s="4"/>
      <c r="R75" s="4"/>
      <c r="U75" s="5">
        <v>0.21</v>
      </c>
      <c r="V75" s="5">
        <v>0.33</v>
      </c>
    </row>
    <row r="76" spans="1:22" x14ac:dyDescent="0.45">
      <c r="H76" s="4"/>
      <c r="I76" s="4"/>
      <c r="J76" s="4"/>
      <c r="K76" s="4"/>
      <c r="L76" s="4"/>
      <c r="M76" s="4"/>
      <c r="N76" s="4"/>
      <c r="P76" s="4"/>
      <c r="Q76" s="4"/>
      <c r="R76" s="4"/>
      <c r="U76" s="5">
        <v>0.21</v>
      </c>
      <c r="V76" s="5">
        <v>0.35</v>
      </c>
    </row>
    <row r="77" spans="1:22" x14ac:dyDescent="0.45">
      <c r="U77" s="32">
        <v>0.21</v>
      </c>
      <c r="V77" s="5">
        <v>0.39</v>
      </c>
    </row>
    <row r="78" spans="1:22" x14ac:dyDescent="0.45">
      <c r="U78" s="32">
        <v>0.21</v>
      </c>
    </row>
    <row r="79" spans="1:22" x14ac:dyDescent="0.45">
      <c r="U79" s="31">
        <v>0.21</v>
      </c>
    </row>
    <row r="80" spans="1:22" x14ac:dyDescent="0.45">
      <c r="U80" s="31">
        <v>0.21</v>
      </c>
    </row>
    <row r="81" spans="20:22" x14ac:dyDescent="0.45">
      <c r="U81" s="31">
        <v>0.22</v>
      </c>
    </row>
    <row r="82" spans="20:22" x14ac:dyDescent="0.45">
      <c r="U82" s="31">
        <v>0.22</v>
      </c>
    </row>
    <row r="83" spans="20:22" x14ac:dyDescent="0.45">
      <c r="U83" s="5">
        <v>0.23</v>
      </c>
    </row>
    <row r="84" spans="20:22" x14ac:dyDescent="0.45">
      <c r="U84" s="5">
        <v>0.23</v>
      </c>
    </row>
    <row r="85" spans="20:22" x14ac:dyDescent="0.45">
      <c r="U85" s="31">
        <v>0.24</v>
      </c>
    </row>
    <row r="86" spans="20:22" x14ac:dyDescent="0.45">
      <c r="U86" s="5">
        <v>0.24</v>
      </c>
    </row>
    <row r="87" spans="20:22" x14ac:dyDescent="0.45">
      <c r="U87" s="5">
        <v>0.26</v>
      </c>
    </row>
    <row r="88" spans="20:22" x14ac:dyDescent="0.45">
      <c r="U88" s="5">
        <v>0.3</v>
      </c>
    </row>
    <row r="89" spans="20:22" x14ac:dyDescent="0.45">
      <c r="U89" s="5">
        <v>0.39</v>
      </c>
    </row>
    <row r="90" spans="20:22" x14ac:dyDescent="0.45">
      <c r="U90" s="5">
        <v>0.4</v>
      </c>
    </row>
    <row r="91" spans="20:22" x14ac:dyDescent="0.45">
      <c r="U91" s="31">
        <v>0.4</v>
      </c>
    </row>
    <row r="93" spans="20:22" x14ac:dyDescent="0.45">
      <c r="T93" t="s">
        <v>221</v>
      </c>
      <c r="U93" s="5">
        <f>MEDIAN(U11:U91)</f>
        <v>0.14000000000000001</v>
      </c>
      <c r="V93" s="5">
        <f>MEDIAN(V11:V77)</f>
        <v>0.19</v>
      </c>
    </row>
    <row r="94" spans="20:22" x14ac:dyDescent="0.45">
      <c r="T94" t="s">
        <v>22</v>
      </c>
      <c r="U94" s="5">
        <f>AVERAGE(U11:U91)</f>
        <v>0.15283950617283965</v>
      </c>
      <c r="V94" s="5">
        <f>AVERAGE(V11:V77)</f>
        <v>0.19940298507462689</v>
      </c>
    </row>
  </sheetData>
  <sortState ref="U11:U91">
    <sortCondition ref="U11:U91"/>
  </sortState>
  <mergeCells count="2">
    <mergeCell ref="U9:U10"/>
    <mergeCell ref="V9:V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B16" sqref="B16"/>
    </sheetView>
  </sheetViews>
  <sheetFormatPr defaultRowHeight="14.25" x14ac:dyDescent="0.45"/>
  <cols>
    <col min="1" max="1" width="10.46484375" customWidth="1"/>
    <col min="2" max="2" width="14.796875" customWidth="1"/>
  </cols>
  <sheetData>
    <row r="1" spans="1:9" ht="18" x14ac:dyDescent="0.55000000000000004">
      <c r="A1" s="7" t="s">
        <v>13</v>
      </c>
      <c r="B1" s="8"/>
      <c r="C1" s="8"/>
      <c r="D1" s="8"/>
      <c r="E1" s="8"/>
      <c r="F1" s="9"/>
      <c r="G1" s="8"/>
      <c r="H1" s="8"/>
      <c r="I1" s="8"/>
    </row>
    <row r="2" spans="1:9" x14ac:dyDescent="0.45">
      <c r="A2" t="s">
        <v>0</v>
      </c>
    </row>
    <row r="3" spans="1:9" x14ac:dyDescent="0.45">
      <c r="A3" t="s">
        <v>1</v>
      </c>
      <c r="B3" s="11">
        <v>40581</v>
      </c>
      <c r="C3" s="11"/>
      <c r="D3" s="12"/>
      <c r="E3" s="12"/>
      <c r="F3" s="12"/>
      <c r="G3" s="2"/>
      <c r="H3" s="2"/>
    </row>
    <row r="4" spans="1:9" x14ac:dyDescent="0.45">
      <c r="A4" t="s">
        <v>2</v>
      </c>
      <c r="B4">
        <v>1</v>
      </c>
    </row>
    <row r="6" spans="1:9" x14ac:dyDescent="0.45">
      <c r="A6" t="s">
        <v>3</v>
      </c>
      <c r="B6" t="s">
        <v>4</v>
      </c>
      <c r="C6" t="s">
        <v>5</v>
      </c>
      <c r="D6" s="10" t="s">
        <v>14</v>
      </c>
      <c r="E6" t="s">
        <v>7</v>
      </c>
    </row>
    <row r="8" spans="1:9" x14ac:dyDescent="0.45">
      <c r="A8" t="s">
        <v>8</v>
      </c>
      <c r="B8">
        <v>742327</v>
      </c>
      <c r="C8">
        <v>746412</v>
      </c>
    </row>
    <row r="9" spans="1:9" x14ac:dyDescent="0.45">
      <c r="A9" t="s">
        <v>9</v>
      </c>
      <c r="B9">
        <v>5576963</v>
      </c>
      <c r="C9">
        <v>5569053</v>
      </c>
    </row>
    <row r="10" spans="1:9" x14ac:dyDescent="0.45">
      <c r="B10" t="s">
        <v>31</v>
      </c>
      <c r="C10" t="s">
        <v>69</v>
      </c>
      <c r="F10" s="3">
        <v>40305</v>
      </c>
      <c r="G10" s="3">
        <v>40307</v>
      </c>
      <c r="H10" s="4" t="s">
        <v>10</v>
      </c>
    </row>
    <row r="11" spans="1:9" x14ac:dyDescent="0.45">
      <c r="B11" s="5">
        <v>0.03</v>
      </c>
      <c r="C11">
        <v>0.05</v>
      </c>
      <c r="E11" t="s">
        <v>11</v>
      </c>
      <c r="F11" s="6">
        <f>COUNTIF(B$11:B$71,"&gt;=0")-COUNTIF(B$11:B$71,"&gt;0.049")</f>
        <v>1</v>
      </c>
      <c r="G11" s="6">
        <f>COUNTIF(C$11:C$114,"&gt;=0")-COUNTIF(C$11:C$114,"&gt;0.049")</f>
        <v>0</v>
      </c>
      <c r="H11" s="6">
        <f>COUNTIF(S$11:S$179,"&gt;=0")-COUNTIF(S$11:S$179,"&gt;0.049")</f>
        <v>0</v>
      </c>
    </row>
    <row r="12" spans="1:9" x14ac:dyDescent="0.45">
      <c r="A12" t="s">
        <v>18</v>
      </c>
      <c r="B12" s="5">
        <v>0.21</v>
      </c>
      <c r="C12">
        <v>7.0000000000000007E-2</v>
      </c>
      <c r="E12" t="s">
        <v>12</v>
      </c>
      <c r="F12" s="6">
        <f>COUNTIF(B$11:B$71,"&gt;=0.050")-COUNTIF(B$11:B$71,"&gt;0.099")</f>
        <v>0</v>
      </c>
      <c r="G12" s="6">
        <f>COUNTIF(C$11:C$114,"&gt;=0.050")-COUNTIF(C$11:C$114,"&gt;0.099")</f>
        <v>2</v>
      </c>
      <c r="H12" s="6">
        <f>COUNTIF(S$11:S$179,"&gt;=0.050")-COUNTIF(S$11:S$179,"&gt;0.099")</f>
        <v>0</v>
      </c>
    </row>
    <row r="13" spans="1:9" x14ac:dyDescent="0.45">
      <c r="A13" t="s">
        <v>19</v>
      </c>
      <c r="B13">
        <v>0.18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workbookViewId="0">
      <selection activeCell="D8" sqref="D8:D9"/>
    </sheetView>
  </sheetViews>
  <sheetFormatPr defaultRowHeight="14.25" x14ac:dyDescent="0.45"/>
  <cols>
    <col min="1" max="1" width="10.19921875" customWidth="1"/>
    <col min="2" max="2" width="12.86328125" customWidth="1"/>
    <col min="3" max="3" width="14.6640625" customWidth="1"/>
    <col min="4" max="5" width="13.6640625" customWidth="1"/>
    <col min="6" max="8" width="15.33203125" customWidth="1"/>
    <col min="9" max="9" width="17.1328125" customWidth="1"/>
    <col min="10" max="10" width="11.33203125" customWidth="1"/>
  </cols>
  <sheetData>
    <row r="1" spans="1:27" ht="18" x14ac:dyDescent="0.55000000000000004">
      <c r="A1" s="7" t="s">
        <v>13</v>
      </c>
      <c r="B1" s="8"/>
      <c r="C1" s="8"/>
      <c r="D1" s="8"/>
      <c r="E1" s="8"/>
      <c r="F1" s="8"/>
      <c r="G1" s="8"/>
      <c r="H1" s="8"/>
      <c r="I1" s="8"/>
      <c r="J1" s="8"/>
      <c r="K1" s="9"/>
      <c r="L1" s="8"/>
      <c r="M1" s="8"/>
    </row>
    <row r="2" spans="1:27" x14ac:dyDescent="0.45">
      <c r="A2" t="s">
        <v>0</v>
      </c>
    </row>
    <row r="3" spans="1:27" x14ac:dyDescent="0.45">
      <c r="A3" t="s">
        <v>1</v>
      </c>
      <c r="B3" s="11">
        <v>40581</v>
      </c>
      <c r="C3" s="11">
        <v>40582</v>
      </c>
      <c r="D3" s="11">
        <v>40582</v>
      </c>
      <c r="E3" s="11">
        <v>40582</v>
      </c>
      <c r="G3" s="114">
        <v>40667</v>
      </c>
      <c r="I3" s="114">
        <v>40667</v>
      </c>
      <c r="J3" s="12" t="s">
        <v>108</v>
      </c>
      <c r="K3" s="12"/>
      <c r="L3" s="12"/>
      <c r="M3" s="12"/>
    </row>
    <row r="4" spans="1:27" x14ac:dyDescent="0.45">
      <c r="A4" t="s">
        <v>2</v>
      </c>
      <c r="B4">
        <v>1</v>
      </c>
      <c r="C4" t="s">
        <v>48</v>
      </c>
      <c r="D4" t="s">
        <v>49</v>
      </c>
      <c r="E4" t="s">
        <v>50</v>
      </c>
    </row>
    <row r="6" spans="1:27" x14ac:dyDescent="0.45">
      <c r="A6" t="s">
        <v>3</v>
      </c>
      <c r="B6" t="s">
        <v>4</v>
      </c>
      <c r="C6" t="s">
        <v>5</v>
      </c>
      <c r="D6" t="s">
        <v>7</v>
      </c>
      <c r="H6" s="114"/>
      <c r="L6" s="3"/>
      <c r="M6" s="3"/>
      <c r="N6" s="4"/>
    </row>
    <row r="7" spans="1:27" x14ac:dyDescent="0.45">
      <c r="C7" s="14" t="s">
        <v>6</v>
      </c>
      <c r="D7" s="14" t="s">
        <v>6</v>
      </c>
      <c r="E7" s="14" t="s">
        <v>6</v>
      </c>
      <c r="J7" s="41"/>
      <c r="L7" s="3"/>
      <c r="M7" s="3"/>
      <c r="N7" s="4"/>
    </row>
    <row r="8" spans="1:27" x14ac:dyDescent="0.45">
      <c r="A8" t="s">
        <v>8</v>
      </c>
      <c r="B8">
        <v>742735</v>
      </c>
      <c r="C8" s="16">
        <v>253771</v>
      </c>
      <c r="D8">
        <v>253931</v>
      </c>
      <c r="E8">
        <v>253887</v>
      </c>
      <c r="G8">
        <v>742525</v>
      </c>
      <c r="I8">
        <v>744234</v>
      </c>
    </row>
    <row r="9" spans="1:27" x14ac:dyDescent="0.45">
      <c r="A9" t="s">
        <v>9</v>
      </c>
      <c r="B9">
        <v>5576969</v>
      </c>
      <c r="C9">
        <v>5567181</v>
      </c>
      <c r="D9">
        <v>5566935</v>
      </c>
      <c r="E9">
        <v>5566594</v>
      </c>
      <c r="G9">
        <v>5576933</v>
      </c>
      <c r="I9">
        <v>5584896</v>
      </c>
      <c r="J9" s="15">
        <v>0.44</v>
      </c>
      <c r="K9" t="s">
        <v>81</v>
      </c>
      <c r="L9" s="6">
        <f>COUNTIF(J$9:J$52,"&gt;=0")-COUNTIF(J$9:J$52,"&gt;2.4999")</f>
        <v>2</v>
      </c>
      <c r="M9" s="43"/>
      <c r="N9" s="43"/>
      <c r="V9" s="15">
        <v>0.44</v>
      </c>
      <c r="W9" s="15">
        <f>V9+1</f>
        <v>1.44</v>
      </c>
      <c r="X9">
        <f>LOG(W9)</f>
        <v>0.15836249209524964</v>
      </c>
      <c r="Y9">
        <v>1</v>
      </c>
      <c r="Z9">
        <f>X9</f>
        <v>0.15836249209524964</v>
      </c>
      <c r="AA9">
        <v>0</v>
      </c>
    </row>
    <row r="10" spans="1:27" x14ac:dyDescent="0.45">
      <c r="B10" t="s">
        <v>15</v>
      </c>
      <c r="C10" t="s">
        <v>33</v>
      </c>
      <c r="G10" t="s">
        <v>15</v>
      </c>
      <c r="I10" t="s">
        <v>208</v>
      </c>
      <c r="J10" s="15">
        <v>20.7</v>
      </c>
      <c r="K10" s="42" t="s">
        <v>82</v>
      </c>
      <c r="L10" s="6">
        <f>COUNTIF(J$9:J$52,"&gt;=2.5")-COUNTIF(J$9:J$52,"&gt;4.999")</f>
        <v>1</v>
      </c>
      <c r="M10" s="43"/>
      <c r="N10" s="43"/>
      <c r="V10" s="15">
        <v>0.65</v>
      </c>
      <c r="W10" s="15">
        <f t="shared" ref="W10:W52" si="0">V10+1</f>
        <v>1.65</v>
      </c>
      <c r="X10">
        <f t="shared" ref="X10:X52" si="1">LOG(W10)</f>
        <v>0.21748394421390627</v>
      </c>
      <c r="Y10">
        <f>Y9+1</f>
        <v>2</v>
      </c>
      <c r="Z10">
        <f>Z9+X10</f>
        <v>0.37584643630915593</v>
      </c>
    </row>
    <row r="11" spans="1:27" x14ac:dyDescent="0.45">
      <c r="C11" s="17" t="s">
        <v>34</v>
      </c>
      <c r="D11" s="17" t="s">
        <v>43</v>
      </c>
      <c r="E11" s="17" t="s">
        <v>51</v>
      </c>
      <c r="F11" s="17" t="s">
        <v>194</v>
      </c>
      <c r="G11" s="17" t="s">
        <v>200</v>
      </c>
      <c r="I11" s="17" t="s">
        <v>209</v>
      </c>
      <c r="J11" s="15">
        <v>32.700000000000003</v>
      </c>
      <c r="K11" s="42" t="s">
        <v>83</v>
      </c>
      <c r="L11" s="6">
        <f>COUNTIF(J$9:J$52,"&gt;=5.00")-COUNTIF(J$9:J$52,"&gt;7.4999")</f>
        <v>1</v>
      </c>
      <c r="V11" s="15">
        <v>2.96</v>
      </c>
      <c r="W11" s="15">
        <f t="shared" si="0"/>
        <v>3.96</v>
      </c>
      <c r="X11">
        <f t="shared" si="1"/>
        <v>0.5976951859255123</v>
      </c>
      <c r="Y11">
        <f t="shared" ref="Y11:Y52" si="2">Y10+1</f>
        <v>3</v>
      </c>
      <c r="Z11">
        <f t="shared" ref="Z11:Z52" si="3">Z10+X11</f>
        <v>0.97354162223466822</v>
      </c>
      <c r="AA11">
        <v>0.2</v>
      </c>
    </row>
    <row r="12" spans="1:27" x14ac:dyDescent="0.45">
      <c r="D12" s="18" t="s">
        <v>45</v>
      </c>
      <c r="E12" s="18"/>
      <c r="J12" s="15">
        <v>39.200000000000003</v>
      </c>
      <c r="K12" s="42" t="s">
        <v>84</v>
      </c>
      <c r="L12" s="6">
        <f>COUNTIF(J$9:J$52,"&gt;=7.5")-COUNTIF(J$9:J$52,"&gt;9.999")</f>
        <v>0</v>
      </c>
      <c r="V12" s="15">
        <v>6.51</v>
      </c>
      <c r="W12" s="15">
        <f t="shared" si="0"/>
        <v>7.51</v>
      </c>
      <c r="X12">
        <f t="shared" si="1"/>
        <v>0.87563993700416842</v>
      </c>
      <c r="Y12">
        <f t="shared" si="2"/>
        <v>4</v>
      </c>
      <c r="Z12">
        <f t="shared" si="3"/>
        <v>1.8491815592388368</v>
      </c>
    </row>
    <row r="13" spans="1:27" x14ac:dyDescent="0.45">
      <c r="B13" s="5">
        <v>0.88</v>
      </c>
      <c r="C13">
        <v>0.47</v>
      </c>
      <c r="D13" s="15">
        <v>0.44</v>
      </c>
      <c r="E13" s="15">
        <v>26.8</v>
      </c>
      <c r="F13" s="5">
        <v>0.38</v>
      </c>
      <c r="G13">
        <v>0.49</v>
      </c>
      <c r="I13" s="5">
        <v>1.1399999999999999</v>
      </c>
      <c r="J13" s="15">
        <v>46.7</v>
      </c>
      <c r="K13" s="42" t="s">
        <v>85</v>
      </c>
      <c r="L13" s="6">
        <f>COUNTIF(J$9:J$52,"&gt;=10")-COUNTIF(J$9:J$52,"&gt;12.4999")</f>
        <v>0</v>
      </c>
      <c r="V13" s="15">
        <v>14.3</v>
      </c>
      <c r="W13" s="15">
        <f t="shared" si="0"/>
        <v>15.3</v>
      </c>
      <c r="X13">
        <f t="shared" si="1"/>
        <v>1.1846914308175989</v>
      </c>
      <c r="Y13">
        <f t="shared" si="2"/>
        <v>5</v>
      </c>
      <c r="Z13">
        <f t="shared" si="3"/>
        <v>3.0338729900564356</v>
      </c>
      <c r="AA13">
        <v>0.4</v>
      </c>
    </row>
    <row r="14" spans="1:27" x14ac:dyDescent="0.45">
      <c r="B14" s="5">
        <v>0.94</v>
      </c>
      <c r="C14" s="5">
        <v>0.43</v>
      </c>
      <c r="D14" s="15">
        <v>20.7</v>
      </c>
      <c r="E14" s="15">
        <v>25</v>
      </c>
      <c r="F14" s="5">
        <v>0.46</v>
      </c>
      <c r="G14" s="5">
        <v>0.64</v>
      </c>
      <c r="H14" s="5"/>
      <c r="I14" s="5">
        <v>0.75</v>
      </c>
      <c r="J14" s="15">
        <v>57</v>
      </c>
      <c r="K14" s="42" t="s">
        <v>86</v>
      </c>
      <c r="L14" s="6">
        <f>COUNTIF(J$9:J$52,"&gt;=12.5")-COUNTIF(J$9:J$52,"&gt;14.999")</f>
        <v>1</v>
      </c>
      <c r="V14" s="15">
        <v>18.8</v>
      </c>
      <c r="W14" s="15">
        <f t="shared" si="0"/>
        <v>19.8</v>
      </c>
      <c r="X14">
        <f t="shared" si="1"/>
        <v>1.2966651902615312</v>
      </c>
      <c r="Y14">
        <f t="shared" si="2"/>
        <v>6</v>
      </c>
      <c r="Z14">
        <f t="shared" si="3"/>
        <v>4.3305381803179666</v>
      </c>
    </row>
    <row r="15" spans="1:27" x14ac:dyDescent="0.45">
      <c r="B15" s="5">
        <v>0.93</v>
      </c>
      <c r="C15" s="5"/>
      <c r="D15" s="15">
        <v>32.700000000000003</v>
      </c>
      <c r="E15" s="15">
        <v>32.6</v>
      </c>
      <c r="F15" s="5">
        <v>0.41</v>
      </c>
      <c r="G15" s="5">
        <v>0.5</v>
      </c>
      <c r="H15" s="5"/>
      <c r="I15" s="5">
        <v>0.91</v>
      </c>
      <c r="J15" s="15">
        <v>64.8</v>
      </c>
      <c r="K15" s="42" t="s">
        <v>87</v>
      </c>
      <c r="L15" s="6">
        <f>COUNTIF(J$9:J$52,"&gt;=15.0")-COUNTIF(J$9:J$52,"&gt;17.4999")</f>
        <v>0</v>
      </c>
      <c r="V15" s="15">
        <v>20.7</v>
      </c>
      <c r="W15" s="15">
        <f t="shared" si="0"/>
        <v>21.7</v>
      </c>
      <c r="X15">
        <f t="shared" si="1"/>
        <v>1.3364597338485296</v>
      </c>
      <c r="Y15">
        <f t="shared" si="2"/>
        <v>7</v>
      </c>
      <c r="Z15">
        <f t="shared" si="3"/>
        <v>5.6669979141664957</v>
      </c>
      <c r="AA15">
        <v>0.6</v>
      </c>
    </row>
    <row r="16" spans="1:27" x14ac:dyDescent="0.45">
      <c r="B16" s="5">
        <v>0.88</v>
      </c>
      <c r="C16" s="5"/>
      <c r="D16" s="15">
        <v>39.200000000000003</v>
      </c>
      <c r="E16" s="15">
        <v>51.4</v>
      </c>
      <c r="F16" s="5">
        <v>0.5</v>
      </c>
      <c r="G16" s="5">
        <v>0.44</v>
      </c>
      <c r="H16" s="5"/>
      <c r="I16" s="5">
        <v>0.87</v>
      </c>
      <c r="J16" s="15">
        <v>29.6</v>
      </c>
      <c r="K16" s="42" t="s">
        <v>88</v>
      </c>
      <c r="L16" s="6">
        <f>COUNTIF(J$9:J$52,"&gt;=17.5")-COUNTIF(J$9:J$52,"&gt;19.999")</f>
        <v>1</v>
      </c>
      <c r="V16" s="15">
        <v>25</v>
      </c>
      <c r="W16" s="15">
        <f t="shared" si="0"/>
        <v>26</v>
      </c>
      <c r="X16">
        <f t="shared" si="1"/>
        <v>1.414973347970818</v>
      </c>
      <c r="Y16">
        <f t="shared" si="2"/>
        <v>8</v>
      </c>
      <c r="Z16">
        <f t="shared" si="3"/>
        <v>7.0819712621373139</v>
      </c>
    </row>
    <row r="17" spans="2:27" x14ac:dyDescent="0.45">
      <c r="B17" s="5">
        <v>0.97</v>
      </c>
      <c r="C17" s="5"/>
      <c r="D17" s="15">
        <v>46.7</v>
      </c>
      <c r="E17" s="15">
        <v>41.3</v>
      </c>
      <c r="F17" s="5">
        <v>0.49</v>
      </c>
      <c r="G17" s="5">
        <v>0.54</v>
      </c>
      <c r="H17" s="5"/>
      <c r="I17" s="5">
        <v>0.85</v>
      </c>
      <c r="J17" s="15">
        <v>36.5</v>
      </c>
      <c r="K17" s="42" t="s">
        <v>89</v>
      </c>
      <c r="L17" s="6">
        <f>COUNTIF(J$9:J$52,"&gt;=20")-COUNTIF(J$9:J$52,"&gt;22.4999")</f>
        <v>1</v>
      </c>
      <c r="V17" s="15">
        <v>26.8</v>
      </c>
      <c r="W17" s="15">
        <f t="shared" si="0"/>
        <v>27.8</v>
      </c>
      <c r="X17">
        <f t="shared" si="1"/>
        <v>1.4440447959180762</v>
      </c>
      <c r="Y17">
        <f t="shared" si="2"/>
        <v>9</v>
      </c>
      <c r="Z17">
        <f t="shared" si="3"/>
        <v>8.5260160580553901</v>
      </c>
      <c r="AA17">
        <v>0.8</v>
      </c>
    </row>
    <row r="18" spans="2:27" x14ac:dyDescent="0.45">
      <c r="B18" s="5">
        <v>0.88</v>
      </c>
      <c r="C18" s="5"/>
      <c r="D18" s="15">
        <v>57</v>
      </c>
      <c r="E18" s="15">
        <v>34.9</v>
      </c>
      <c r="F18" s="5">
        <v>0.47</v>
      </c>
      <c r="G18" s="5">
        <v>0.32</v>
      </c>
      <c r="H18" s="5"/>
      <c r="I18" s="5">
        <v>0.95</v>
      </c>
      <c r="J18" s="15">
        <v>51.8</v>
      </c>
      <c r="K18" s="42" t="s">
        <v>90</v>
      </c>
      <c r="L18" s="6">
        <f>COUNTIF(J$9:J$52,"&gt;=22.5")-COUNTIF(J$9:J$52,"&gt;24.999")</f>
        <v>0</v>
      </c>
      <c r="V18" s="15">
        <v>26.8</v>
      </c>
      <c r="W18" s="15">
        <f t="shared" si="0"/>
        <v>27.8</v>
      </c>
      <c r="X18">
        <f t="shared" si="1"/>
        <v>1.4440447959180762</v>
      </c>
      <c r="Y18">
        <f t="shared" si="2"/>
        <v>10</v>
      </c>
      <c r="Z18">
        <f t="shared" si="3"/>
        <v>9.9700608539734663</v>
      </c>
    </row>
    <row r="19" spans="2:27" x14ac:dyDescent="0.45">
      <c r="B19" s="5">
        <v>0.72</v>
      </c>
      <c r="C19" s="5"/>
      <c r="D19" s="15">
        <v>64.8</v>
      </c>
      <c r="E19" s="15">
        <v>60.4</v>
      </c>
      <c r="F19" s="5">
        <v>0.51</v>
      </c>
      <c r="G19" s="5">
        <v>0.76</v>
      </c>
      <c r="H19" s="5"/>
      <c r="I19" s="5">
        <v>0.86</v>
      </c>
      <c r="J19" s="15">
        <v>41.7</v>
      </c>
      <c r="K19" s="42" t="s">
        <v>91</v>
      </c>
      <c r="L19" s="6">
        <f>COUNTIF(J$9:J$52,"&gt;=22.5")-COUNTIF(J$9:J$52,"&gt;27.4999")</f>
        <v>3</v>
      </c>
      <c r="V19" s="15">
        <v>28.9</v>
      </c>
      <c r="W19" s="15">
        <f t="shared" si="0"/>
        <v>29.9</v>
      </c>
      <c r="X19">
        <f t="shared" si="1"/>
        <v>1.4756711883244296</v>
      </c>
      <c r="Y19">
        <f t="shared" si="2"/>
        <v>11</v>
      </c>
      <c r="Z19">
        <f t="shared" si="3"/>
        <v>11.445732042297896</v>
      </c>
      <c r="AA19">
        <v>1</v>
      </c>
    </row>
    <row r="20" spans="2:27" x14ac:dyDescent="0.45">
      <c r="B20" s="5">
        <v>1.02</v>
      </c>
      <c r="C20" s="5"/>
      <c r="D20" s="15">
        <v>29.6</v>
      </c>
      <c r="E20" s="15">
        <v>29.7</v>
      </c>
      <c r="F20" s="5">
        <v>0.4</v>
      </c>
      <c r="G20" s="5">
        <v>0.66</v>
      </c>
      <c r="H20" s="5"/>
      <c r="I20" s="5">
        <v>0.82</v>
      </c>
      <c r="J20" s="15">
        <v>18.8</v>
      </c>
      <c r="K20" s="42" t="s">
        <v>92</v>
      </c>
      <c r="L20" s="6">
        <f>COUNTIF(J$9:J$52,"&gt;=27.5")-COUNTIF(J$9:J$52,"&gt;29.999")</f>
        <v>3</v>
      </c>
      <c r="V20" s="15">
        <v>29.6</v>
      </c>
      <c r="W20" s="15">
        <f t="shared" si="0"/>
        <v>30.6</v>
      </c>
      <c r="X20">
        <f t="shared" si="1"/>
        <v>1.4857214264815801</v>
      </c>
      <c r="Y20">
        <f t="shared" si="2"/>
        <v>12</v>
      </c>
      <c r="Z20">
        <f t="shared" si="3"/>
        <v>12.931453468779477</v>
      </c>
    </row>
    <row r="21" spans="2:27" x14ac:dyDescent="0.45">
      <c r="B21" s="5">
        <v>1.5</v>
      </c>
      <c r="C21" s="5"/>
      <c r="D21" s="15">
        <v>36.5</v>
      </c>
      <c r="E21" s="15">
        <v>0.65</v>
      </c>
      <c r="G21" s="5">
        <v>0.81</v>
      </c>
      <c r="I21" s="5">
        <v>0.78</v>
      </c>
      <c r="J21" s="15">
        <v>33.5</v>
      </c>
      <c r="K21" s="42" t="s">
        <v>93</v>
      </c>
      <c r="L21" s="6">
        <f>COUNTIF(J$9:J$52,"&gt;=30.0")-COUNTIF(J$9:J$52,"&gt;32.4999")</f>
        <v>4</v>
      </c>
      <c r="V21" s="15">
        <v>29.7</v>
      </c>
      <c r="W21" s="15">
        <f t="shared" si="0"/>
        <v>30.7</v>
      </c>
      <c r="X21">
        <f t="shared" si="1"/>
        <v>1.4871383754771865</v>
      </c>
      <c r="Y21">
        <f t="shared" si="2"/>
        <v>13</v>
      </c>
      <c r="Z21">
        <f t="shared" si="3"/>
        <v>14.418591844256664</v>
      </c>
      <c r="AA21">
        <v>1.2</v>
      </c>
    </row>
    <row r="22" spans="2:27" x14ac:dyDescent="0.45">
      <c r="B22" s="5">
        <v>1.38</v>
      </c>
      <c r="C22" s="5"/>
      <c r="D22" s="15">
        <v>51.8</v>
      </c>
      <c r="E22" s="15">
        <v>34.200000000000003</v>
      </c>
      <c r="G22" s="24">
        <v>0.68</v>
      </c>
      <c r="H22" s="25" t="s">
        <v>203</v>
      </c>
      <c r="I22" s="5">
        <v>0.63</v>
      </c>
      <c r="J22" s="15">
        <v>32</v>
      </c>
      <c r="K22" s="42" t="s">
        <v>94</v>
      </c>
      <c r="L22" s="6">
        <f>COUNTIF(J$9:J$52,"&gt;=32.5")-COUNTIF(J$9:J$52,"&gt;34.999")</f>
        <v>7</v>
      </c>
      <c r="V22" s="15">
        <v>30.6</v>
      </c>
      <c r="W22" s="15">
        <f t="shared" si="0"/>
        <v>31.6</v>
      </c>
      <c r="X22">
        <f t="shared" si="1"/>
        <v>1.4996870826184039</v>
      </c>
      <c r="Y22">
        <f t="shared" si="2"/>
        <v>14</v>
      </c>
      <c r="Z22">
        <f t="shared" si="3"/>
        <v>15.918278926875068</v>
      </c>
    </row>
    <row r="23" spans="2:27" x14ac:dyDescent="0.45">
      <c r="B23" s="5">
        <v>0.54</v>
      </c>
      <c r="C23" s="5"/>
      <c r="D23" s="15">
        <v>41.7</v>
      </c>
      <c r="E23" s="15">
        <v>6.51</v>
      </c>
      <c r="G23" s="5">
        <v>0.84</v>
      </c>
      <c r="H23" t="s">
        <v>204</v>
      </c>
      <c r="I23" s="5">
        <v>0.78</v>
      </c>
      <c r="J23" s="15">
        <v>43.4</v>
      </c>
      <c r="K23" s="42" t="s">
        <v>95</v>
      </c>
      <c r="L23" s="6">
        <f>COUNTIF(J$9:J$52,"&gt;=35.0")-COUNTIF(J$9:J$52,"&gt;37.4999")</f>
        <v>1</v>
      </c>
      <c r="V23" s="15">
        <v>31.4</v>
      </c>
      <c r="W23" s="15">
        <f t="shared" si="0"/>
        <v>32.4</v>
      </c>
      <c r="X23">
        <f t="shared" si="1"/>
        <v>1.510545010206612</v>
      </c>
      <c r="Y23">
        <f t="shared" si="2"/>
        <v>15</v>
      </c>
      <c r="Z23">
        <f t="shared" si="3"/>
        <v>17.428823937081681</v>
      </c>
      <c r="AA23">
        <v>1.4</v>
      </c>
    </row>
    <row r="24" spans="2:27" x14ac:dyDescent="0.45">
      <c r="B24" s="5">
        <v>0.85</v>
      </c>
      <c r="C24" s="5"/>
      <c r="D24" s="15">
        <v>18.8</v>
      </c>
      <c r="E24" s="15">
        <v>67.099999999999994</v>
      </c>
      <c r="G24" s="5">
        <v>0.52</v>
      </c>
      <c r="I24" s="5">
        <v>0.56999999999999995</v>
      </c>
      <c r="J24" s="15">
        <v>56.5</v>
      </c>
      <c r="K24" s="42" t="s">
        <v>96</v>
      </c>
      <c r="L24" s="6">
        <f>COUNTIF(J$9:J$52,"&gt;=37.5")-COUNTIF(J$9:J$52,"&gt;39.999")</f>
        <v>2</v>
      </c>
      <c r="V24" s="15">
        <v>32</v>
      </c>
      <c r="W24" s="15">
        <f t="shared" si="0"/>
        <v>33</v>
      </c>
      <c r="X24">
        <f t="shared" si="1"/>
        <v>1.5185139398778875</v>
      </c>
      <c r="Y24">
        <f t="shared" si="2"/>
        <v>16</v>
      </c>
      <c r="Z24">
        <f t="shared" si="3"/>
        <v>18.947337876959569</v>
      </c>
    </row>
    <row r="25" spans="2:27" x14ac:dyDescent="0.45">
      <c r="B25" s="5">
        <v>0.43</v>
      </c>
      <c r="C25" s="5"/>
      <c r="D25" s="15">
        <v>33.5</v>
      </c>
      <c r="E25" s="15">
        <v>28.9</v>
      </c>
      <c r="G25" s="5">
        <v>0.15</v>
      </c>
      <c r="I25" s="5">
        <v>0.69</v>
      </c>
      <c r="J25" s="15">
        <v>26.8</v>
      </c>
      <c r="K25" s="42" t="s">
        <v>97</v>
      </c>
      <c r="L25" s="6">
        <f>COUNTIF(J$9:J$52,"&gt;=40.00")-COUNTIF(J$9:J$52,"&gt;42.4999")</f>
        <v>2</v>
      </c>
      <c r="V25" s="15">
        <v>32.299999999999997</v>
      </c>
      <c r="W25" s="15">
        <f t="shared" si="0"/>
        <v>33.299999999999997</v>
      </c>
      <c r="X25">
        <f t="shared" si="1"/>
        <v>1.5224442335063197</v>
      </c>
      <c r="Y25">
        <f t="shared" si="2"/>
        <v>17</v>
      </c>
      <c r="Z25">
        <f t="shared" si="3"/>
        <v>20.469782110465889</v>
      </c>
      <c r="AA25">
        <v>1.6</v>
      </c>
    </row>
    <row r="26" spans="2:27" x14ac:dyDescent="0.45">
      <c r="B26" s="5">
        <v>0.44</v>
      </c>
      <c r="C26" s="5"/>
      <c r="D26" s="15">
        <v>32</v>
      </c>
      <c r="E26" s="15">
        <v>43.1</v>
      </c>
      <c r="G26" s="5">
        <v>0.65</v>
      </c>
      <c r="I26" s="5">
        <v>0.86</v>
      </c>
      <c r="J26" s="15">
        <v>38.700000000000003</v>
      </c>
      <c r="K26" s="42" t="s">
        <v>98</v>
      </c>
      <c r="L26" s="6">
        <f>COUNTIF(J$9:J$52,"&gt;=42.5")-COUNTIF(J$9:J$52,"&gt;44.999")</f>
        <v>3</v>
      </c>
      <c r="V26" s="15">
        <v>32.6</v>
      </c>
      <c r="W26" s="15">
        <f t="shared" si="0"/>
        <v>33.6</v>
      </c>
      <c r="X26">
        <f t="shared" si="1"/>
        <v>1.5263392773898441</v>
      </c>
      <c r="Y26">
        <f t="shared" si="2"/>
        <v>18</v>
      </c>
      <c r="Z26">
        <f t="shared" si="3"/>
        <v>21.996121387855734</v>
      </c>
    </row>
    <row r="27" spans="2:27" x14ac:dyDescent="0.45">
      <c r="B27" s="5">
        <v>0.61</v>
      </c>
      <c r="C27" s="5"/>
      <c r="D27" s="15">
        <v>43.4</v>
      </c>
      <c r="E27" s="15">
        <v>44.2</v>
      </c>
      <c r="G27" s="5">
        <v>0.67</v>
      </c>
      <c r="I27" s="5">
        <v>0.85</v>
      </c>
      <c r="J27" s="15">
        <v>52.2</v>
      </c>
      <c r="K27" s="42" t="s">
        <v>99</v>
      </c>
      <c r="L27" s="6">
        <f>COUNTIF(J$9:J$52,"&gt;=45.0")-COUNTIF(J$9:J$52,"&gt;47.4999")</f>
        <v>1</v>
      </c>
      <c r="V27" s="15">
        <v>32.700000000000003</v>
      </c>
      <c r="W27" s="15">
        <f t="shared" si="0"/>
        <v>33.700000000000003</v>
      </c>
      <c r="X27">
        <f t="shared" si="1"/>
        <v>1.5276299008713388</v>
      </c>
      <c r="Y27">
        <f t="shared" si="2"/>
        <v>19</v>
      </c>
      <c r="Z27">
        <f t="shared" si="3"/>
        <v>23.523751288727073</v>
      </c>
      <c r="AA27">
        <v>1.8</v>
      </c>
    </row>
    <row r="28" spans="2:27" x14ac:dyDescent="0.45">
      <c r="B28" s="5">
        <v>0.37</v>
      </c>
      <c r="C28" s="5"/>
      <c r="D28" s="15">
        <v>56.5</v>
      </c>
      <c r="E28" s="15">
        <v>32.299999999999997</v>
      </c>
      <c r="I28" s="5">
        <v>0.75</v>
      </c>
      <c r="J28" s="15">
        <v>30.6</v>
      </c>
      <c r="K28" s="42" t="s">
        <v>100</v>
      </c>
      <c r="L28" s="6">
        <f>COUNTIF(J$9:J$52,"&gt;=47.5")-COUNTIF(J$9:J$52,"&gt;49.999")</f>
        <v>0</v>
      </c>
      <c r="V28" s="15">
        <v>32.9</v>
      </c>
      <c r="W28" s="15">
        <f t="shared" si="0"/>
        <v>33.9</v>
      </c>
      <c r="X28">
        <f t="shared" si="1"/>
        <v>1.5301996982030821</v>
      </c>
      <c r="Y28">
        <f t="shared" si="2"/>
        <v>20</v>
      </c>
      <c r="Z28">
        <f t="shared" si="3"/>
        <v>25.053950986930154</v>
      </c>
    </row>
    <row r="29" spans="2:27" x14ac:dyDescent="0.45">
      <c r="B29" s="5">
        <v>0.89</v>
      </c>
      <c r="C29" s="5"/>
      <c r="D29" s="15">
        <v>26.8</v>
      </c>
      <c r="E29" s="15"/>
      <c r="I29" s="5">
        <v>0.7</v>
      </c>
      <c r="J29" s="15">
        <v>53.2</v>
      </c>
      <c r="K29" s="42" t="s">
        <v>101</v>
      </c>
      <c r="L29" s="6">
        <f>COUNTIF(J$9:J$52,"&gt;=50.0")-COUNTIF(J$9:J$52,"&gt;52.4999")</f>
        <v>3</v>
      </c>
      <c r="V29" s="15">
        <v>33.5</v>
      </c>
      <c r="W29" s="15">
        <f t="shared" si="0"/>
        <v>34.5</v>
      </c>
      <c r="X29">
        <f t="shared" si="1"/>
        <v>1.5378190950732742</v>
      </c>
      <c r="Y29">
        <f t="shared" si="2"/>
        <v>21</v>
      </c>
      <c r="Z29">
        <f t="shared" si="3"/>
        <v>26.591770082003428</v>
      </c>
      <c r="AA29">
        <v>2</v>
      </c>
    </row>
    <row r="30" spans="2:27" x14ac:dyDescent="0.45">
      <c r="B30" s="5">
        <v>1</v>
      </c>
      <c r="C30" s="5"/>
      <c r="D30" s="15">
        <v>38.700000000000003</v>
      </c>
      <c r="E30" s="15"/>
      <c r="I30" s="5">
        <v>0.84</v>
      </c>
      <c r="J30" s="15">
        <v>31.4</v>
      </c>
      <c r="K30" s="42" t="s">
        <v>102</v>
      </c>
      <c r="L30" s="6">
        <f>COUNTIF(J$9:J$52,"&gt;=52.5")-COUNTIF(J$9:J$52,"&gt;54.999")</f>
        <v>1</v>
      </c>
      <c r="V30" s="15">
        <v>34.1</v>
      </c>
      <c r="W30" s="15">
        <f t="shared" si="0"/>
        <v>35.1</v>
      </c>
      <c r="X30">
        <f t="shared" si="1"/>
        <v>1.5453071164658241</v>
      </c>
      <c r="Y30">
        <f t="shared" si="2"/>
        <v>22</v>
      </c>
      <c r="Z30">
        <f t="shared" si="3"/>
        <v>28.137077198469253</v>
      </c>
    </row>
    <row r="31" spans="2:27" x14ac:dyDescent="0.45">
      <c r="B31" s="5">
        <v>0.54</v>
      </c>
      <c r="C31" s="5"/>
      <c r="D31" s="15">
        <v>52.2</v>
      </c>
      <c r="E31" s="15"/>
      <c r="I31" s="5">
        <v>0.79</v>
      </c>
      <c r="J31" s="15">
        <v>69.5</v>
      </c>
      <c r="K31" s="42" t="s">
        <v>103</v>
      </c>
      <c r="L31" s="6">
        <f>COUNTIF(J$9:J$52,"&gt;=55.0")-COUNTIF(J$9:J$52,"&gt;57.4999")</f>
        <v>3</v>
      </c>
      <c r="V31" s="15">
        <v>34.200000000000003</v>
      </c>
      <c r="W31" s="15">
        <f t="shared" si="0"/>
        <v>35.200000000000003</v>
      </c>
      <c r="X31">
        <f t="shared" si="1"/>
        <v>1.546542663478131</v>
      </c>
      <c r="Y31">
        <f t="shared" si="2"/>
        <v>23</v>
      </c>
      <c r="Z31">
        <f t="shared" si="3"/>
        <v>29.683619861947385</v>
      </c>
    </row>
    <row r="32" spans="2:27" x14ac:dyDescent="0.45">
      <c r="B32" s="5">
        <v>0.86</v>
      </c>
      <c r="C32" s="5"/>
      <c r="D32" s="15">
        <v>30.6</v>
      </c>
      <c r="E32" s="15"/>
      <c r="I32" s="5">
        <v>0.64</v>
      </c>
      <c r="J32" s="15">
        <v>32.9</v>
      </c>
      <c r="K32" s="42" t="s">
        <v>104</v>
      </c>
      <c r="L32" s="6">
        <f>COUNTIF(J$9:J$52,"&gt;=57.5")-COUNTIF(J$9:J$52,"&gt;59.999")</f>
        <v>0</v>
      </c>
      <c r="V32" s="15">
        <v>34.9</v>
      </c>
      <c r="W32" s="15">
        <f t="shared" si="0"/>
        <v>35.9</v>
      </c>
      <c r="X32">
        <f t="shared" si="1"/>
        <v>1.5550944485783191</v>
      </c>
      <c r="Y32">
        <f t="shared" si="2"/>
        <v>24</v>
      </c>
      <c r="Z32">
        <f t="shared" si="3"/>
        <v>31.238714310525705</v>
      </c>
    </row>
    <row r="33" spans="1:26" x14ac:dyDescent="0.45">
      <c r="B33" s="5">
        <v>0.81</v>
      </c>
      <c r="C33" s="5"/>
      <c r="D33" s="15">
        <v>53.2</v>
      </c>
      <c r="E33" s="15"/>
      <c r="I33" s="5">
        <v>0.67</v>
      </c>
      <c r="J33" s="15">
        <v>55.5</v>
      </c>
      <c r="K33" s="42" t="s">
        <v>105</v>
      </c>
      <c r="L33" s="6">
        <f>COUNTIF(J$9:J$52,"&gt;=60.0")-COUNTIF(J$9:J$52,"&gt;62.4999")</f>
        <v>1</v>
      </c>
      <c r="V33" s="15">
        <v>36.5</v>
      </c>
      <c r="W33" s="15">
        <f t="shared" si="0"/>
        <v>37.5</v>
      </c>
      <c r="X33">
        <f t="shared" si="1"/>
        <v>1.5740312677277188</v>
      </c>
      <c r="Y33">
        <f t="shared" si="2"/>
        <v>25</v>
      </c>
      <c r="Z33">
        <f t="shared" si="3"/>
        <v>32.812745578253427</v>
      </c>
    </row>
    <row r="34" spans="1:26" x14ac:dyDescent="0.45">
      <c r="B34" s="5">
        <v>0.88</v>
      </c>
      <c r="C34" s="5"/>
      <c r="D34" s="15">
        <v>31.4</v>
      </c>
      <c r="E34" s="15"/>
      <c r="I34" s="5">
        <v>0.83</v>
      </c>
      <c r="J34" s="15">
        <v>2.96</v>
      </c>
      <c r="K34" s="42" t="s">
        <v>106</v>
      </c>
      <c r="L34" s="6">
        <f>COUNTIF(J$9:J$52,"&gt;=62.5")-COUNTIF(J$9:J$52,"&gt;64.999")</f>
        <v>1</v>
      </c>
      <c r="V34" s="15">
        <v>38.700000000000003</v>
      </c>
      <c r="W34" s="15">
        <f t="shared" si="0"/>
        <v>39.700000000000003</v>
      </c>
      <c r="X34">
        <f t="shared" si="1"/>
        <v>1.5987905067631152</v>
      </c>
      <c r="Y34">
        <f t="shared" si="2"/>
        <v>26</v>
      </c>
      <c r="Z34">
        <f t="shared" si="3"/>
        <v>34.411536085016543</v>
      </c>
    </row>
    <row r="35" spans="1:26" x14ac:dyDescent="0.45">
      <c r="B35" s="5">
        <v>0.83</v>
      </c>
      <c r="C35" s="5"/>
      <c r="D35" s="15">
        <v>69.5</v>
      </c>
      <c r="E35" s="15"/>
      <c r="I35" s="5">
        <v>0.82</v>
      </c>
      <c r="J35" s="15">
        <v>14.3</v>
      </c>
      <c r="K35" s="42" t="s">
        <v>107</v>
      </c>
      <c r="L35" s="6">
        <f>COUNTIF(J$9:J$52,"&gt;=65.0")</f>
        <v>2</v>
      </c>
      <c r="V35" s="15">
        <v>39.200000000000003</v>
      </c>
      <c r="W35" s="15">
        <f t="shared" si="0"/>
        <v>40.200000000000003</v>
      </c>
      <c r="X35">
        <f t="shared" si="1"/>
        <v>1.6042260530844701</v>
      </c>
      <c r="Y35">
        <f t="shared" si="2"/>
        <v>27</v>
      </c>
      <c r="Z35">
        <f t="shared" si="3"/>
        <v>36.01576213810101</v>
      </c>
    </row>
    <row r="36" spans="1:26" x14ac:dyDescent="0.45">
      <c r="B36" s="5">
        <v>0.67</v>
      </c>
      <c r="C36" s="5"/>
      <c r="D36" s="15">
        <v>32.9</v>
      </c>
      <c r="E36" s="15"/>
      <c r="I36" s="5">
        <v>0.84</v>
      </c>
      <c r="J36" s="15">
        <v>34.1</v>
      </c>
      <c r="K36" s="42"/>
      <c r="V36" s="15">
        <v>41.3</v>
      </c>
      <c r="W36" s="15">
        <f t="shared" si="0"/>
        <v>42.3</v>
      </c>
      <c r="X36">
        <f t="shared" si="1"/>
        <v>1.6263403673750423</v>
      </c>
      <c r="Y36">
        <f t="shared" si="2"/>
        <v>28</v>
      </c>
      <c r="Z36">
        <f t="shared" si="3"/>
        <v>37.642102505476053</v>
      </c>
    </row>
    <row r="37" spans="1:26" x14ac:dyDescent="0.45">
      <c r="B37" s="5"/>
      <c r="C37" s="5"/>
      <c r="D37" s="15">
        <v>55.5</v>
      </c>
      <c r="E37" s="15"/>
      <c r="I37" s="5">
        <v>0.88</v>
      </c>
      <c r="J37" s="15">
        <v>26.8</v>
      </c>
      <c r="K37" s="42"/>
      <c r="V37" s="15">
        <v>41.7</v>
      </c>
      <c r="W37" s="15">
        <f t="shared" si="0"/>
        <v>42.7</v>
      </c>
      <c r="X37">
        <f t="shared" si="1"/>
        <v>1.6304278750250238</v>
      </c>
      <c r="Y37">
        <f t="shared" si="2"/>
        <v>29</v>
      </c>
      <c r="Z37">
        <f t="shared" si="3"/>
        <v>39.272530380501074</v>
      </c>
    </row>
    <row r="38" spans="1:26" x14ac:dyDescent="0.45">
      <c r="C38" s="5"/>
      <c r="D38" s="15">
        <v>2.96</v>
      </c>
      <c r="E38" s="15"/>
      <c r="I38" s="5">
        <v>0.95</v>
      </c>
      <c r="J38" s="15">
        <v>25</v>
      </c>
      <c r="K38" s="42"/>
      <c r="V38" s="15">
        <v>43.1</v>
      </c>
      <c r="W38" s="15">
        <f t="shared" si="0"/>
        <v>44.1</v>
      </c>
      <c r="X38">
        <f t="shared" si="1"/>
        <v>1.6444385894678386</v>
      </c>
      <c r="Y38">
        <f t="shared" si="2"/>
        <v>30</v>
      </c>
      <c r="Z38">
        <f t="shared" si="3"/>
        <v>40.916968969968913</v>
      </c>
    </row>
    <row r="39" spans="1:26" x14ac:dyDescent="0.45">
      <c r="C39" s="5"/>
      <c r="D39" s="15">
        <v>14.3</v>
      </c>
      <c r="E39" s="15"/>
      <c r="I39" s="5">
        <v>0.94</v>
      </c>
      <c r="J39" s="15">
        <v>32.6</v>
      </c>
      <c r="K39" s="42"/>
      <c r="V39" s="15">
        <v>43.4</v>
      </c>
      <c r="W39" s="15">
        <f t="shared" si="0"/>
        <v>44.4</v>
      </c>
      <c r="X39">
        <f t="shared" si="1"/>
        <v>1.6473829701146199</v>
      </c>
      <c r="Y39">
        <f t="shared" si="2"/>
        <v>31</v>
      </c>
      <c r="Z39">
        <f t="shared" si="3"/>
        <v>42.564351940083533</v>
      </c>
    </row>
    <row r="40" spans="1:26" x14ac:dyDescent="0.45">
      <c r="C40" s="5"/>
      <c r="D40" s="15">
        <v>34.1</v>
      </c>
      <c r="E40" s="15"/>
      <c r="I40" s="5">
        <v>1.1100000000000001</v>
      </c>
      <c r="J40" s="15">
        <v>51.4</v>
      </c>
      <c r="K40" s="42"/>
      <c r="V40" s="15">
        <v>44.2</v>
      </c>
      <c r="W40" s="15">
        <f t="shared" si="0"/>
        <v>45.2</v>
      </c>
      <c r="X40">
        <f t="shared" si="1"/>
        <v>1.6551384348113822</v>
      </c>
      <c r="Y40">
        <f t="shared" si="2"/>
        <v>32</v>
      </c>
      <c r="Z40">
        <f t="shared" si="3"/>
        <v>44.219490374894917</v>
      </c>
    </row>
    <row r="41" spans="1:26" x14ac:dyDescent="0.45">
      <c r="C41" s="5"/>
      <c r="D41" s="15"/>
      <c r="E41" s="15"/>
      <c r="I41" s="5">
        <v>0.73</v>
      </c>
      <c r="J41" s="15">
        <v>41.3</v>
      </c>
      <c r="K41" s="42"/>
      <c r="V41" s="15">
        <v>46.7</v>
      </c>
      <c r="W41" s="15">
        <f t="shared" si="0"/>
        <v>47.7</v>
      </c>
      <c r="X41">
        <f t="shared" si="1"/>
        <v>1.6785183790401139</v>
      </c>
      <c r="Y41">
        <f t="shared" si="2"/>
        <v>33</v>
      </c>
      <c r="Z41">
        <f t="shared" si="3"/>
        <v>45.898008753935031</v>
      </c>
    </row>
    <row r="42" spans="1:26" x14ac:dyDescent="0.45">
      <c r="A42" t="s">
        <v>22</v>
      </c>
      <c r="B42" s="5">
        <f>SUM(B$13:B$36)/24</f>
        <v>0.82583333333333309</v>
      </c>
      <c r="C42" s="5"/>
      <c r="D42" s="15">
        <f>SUM(D$13:D$40)/28</f>
        <v>37.410714285714285</v>
      </c>
      <c r="E42" s="15">
        <f>SUM(E$13:E$28)/16</f>
        <v>34.941249999999997</v>
      </c>
      <c r="F42" s="5">
        <f>SUM(F13+F14+F15+F16+F17+F18+F19+C13+C14+F20)/10</f>
        <v>0.45199999999999996</v>
      </c>
      <c r="G42" s="5">
        <f>SUM(G13:G27)/G46</f>
        <v>0.57799999999999996</v>
      </c>
      <c r="H42" s="5"/>
      <c r="I42" s="5">
        <v>1.03</v>
      </c>
      <c r="J42" s="15">
        <v>34.9</v>
      </c>
      <c r="K42" s="42"/>
      <c r="V42" s="15">
        <v>51.4</v>
      </c>
      <c r="W42" s="15">
        <f t="shared" si="0"/>
        <v>52.4</v>
      </c>
      <c r="X42">
        <f t="shared" si="1"/>
        <v>1.7193312869837267</v>
      </c>
      <c r="Y42">
        <f t="shared" si="2"/>
        <v>34</v>
      </c>
      <c r="Z42">
        <f t="shared" si="3"/>
        <v>47.617340040918755</v>
      </c>
    </row>
    <row r="43" spans="1:26" x14ac:dyDescent="0.45">
      <c r="A43" t="s">
        <v>23</v>
      </c>
      <c r="B43" s="5">
        <f>MEDIAN(B$13:B$36)</f>
        <v>0.87</v>
      </c>
      <c r="C43" s="5"/>
      <c r="D43" s="15">
        <f>MEDIAN(D$13:D$40)</f>
        <v>35.299999999999997</v>
      </c>
      <c r="E43" s="15">
        <f>MEDIAN(E$13:E$28)</f>
        <v>33.400000000000006</v>
      </c>
      <c r="F43" s="5">
        <f>MEDIAN(F13:F20,C13,C14)</f>
        <v>0.46499999999999997</v>
      </c>
      <c r="G43" s="5">
        <f>MEDIAN(G13:G27)</f>
        <v>0.64</v>
      </c>
      <c r="H43" s="5"/>
      <c r="I43" s="5">
        <v>0.93</v>
      </c>
      <c r="J43" s="15">
        <v>60.4</v>
      </c>
      <c r="K43" s="42"/>
      <c r="V43" s="15">
        <v>51.8</v>
      </c>
      <c r="W43" s="15">
        <f t="shared" si="0"/>
        <v>52.8</v>
      </c>
      <c r="X43">
        <f t="shared" si="1"/>
        <v>1.7226339225338123</v>
      </c>
      <c r="Y43">
        <f t="shared" si="2"/>
        <v>35</v>
      </c>
      <c r="Z43">
        <f t="shared" si="3"/>
        <v>49.339973963452564</v>
      </c>
    </row>
    <row r="44" spans="1:26" x14ac:dyDescent="0.45">
      <c r="A44" t="s">
        <v>25</v>
      </c>
      <c r="B44" s="5">
        <f>SMALL(B$13:B$36,1)</f>
        <v>0.37</v>
      </c>
      <c r="C44" s="5"/>
      <c r="D44" s="15">
        <f>SMALL(D$13:D$39,1)</f>
        <v>0.44</v>
      </c>
      <c r="E44" s="15">
        <f>SMALL(E$13:E$28,1)</f>
        <v>0.65</v>
      </c>
      <c r="F44">
        <v>0.38</v>
      </c>
      <c r="G44" s="5">
        <f>SMALL(G$13:G$27,1)</f>
        <v>0.15</v>
      </c>
      <c r="I44" s="5">
        <v>1.02</v>
      </c>
      <c r="J44" s="15">
        <v>29.7</v>
      </c>
      <c r="K44" s="42"/>
      <c r="V44" s="15">
        <v>52.2</v>
      </c>
      <c r="W44" s="15">
        <f t="shared" si="0"/>
        <v>53.2</v>
      </c>
      <c r="X44">
        <f t="shared" si="1"/>
        <v>1.7259116322950483</v>
      </c>
      <c r="Y44">
        <f t="shared" si="2"/>
        <v>36</v>
      </c>
      <c r="Z44">
        <f t="shared" si="3"/>
        <v>51.065885595747616</v>
      </c>
    </row>
    <row r="45" spans="1:26" x14ac:dyDescent="0.45">
      <c r="A45" t="s">
        <v>24</v>
      </c>
      <c r="B45" s="5">
        <f>SMALL(B$13:B$36,24)</f>
        <v>1.5</v>
      </c>
      <c r="C45" s="5"/>
      <c r="D45" s="15">
        <f>SMALL(D$13:D$40,28)</f>
        <v>69.5</v>
      </c>
      <c r="E45" s="15">
        <f>SMALL(E$13:E$28,16)</f>
        <v>67.099999999999994</v>
      </c>
      <c r="F45">
        <v>0.51</v>
      </c>
      <c r="G45" s="5">
        <f>SMALL(G$13:G$27,G46)</f>
        <v>0.84</v>
      </c>
      <c r="J45" s="15">
        <v>0.65</v>
      </c>
      <c r="K45" s="42"/>
      <c r="V45" s="15">
        <v>53.2</v>
      </c>
      <c r="W45" s="15">
        <f t="shared" si="0"/>
        <v>54.2</v>
      </c>
      <c r="X45">
        <f t="shared" si="1"/>
        <v>1.7339992865383869</v>
      </c>
      <c r="Y45">
        <f t="shared" si="2"/>
        <v>37</v>
      </c>
      <c r="Z45">
        <f t="shared" si="3"/>
        <v>52.799884882286001</v>
      </c>
    </row>
    <row r="46" spans="1:26" x14ac:dyDescent="0.45">
      <c r="A46" t="s">
        <v>52</v>
      </c>
      <c r="B46" s="16">
        <v>24</v>
      </c>
      <c r="C46" s="16"/>
      <c r="D46" s="16">
        <v>28</v>
      </c>
      <c r="E46" s="16">
        <v>16</v>
      </c>
      <c r="F46" s="16">
        <v>10</v>
      </c>
      <c r="G46" s="16">
        <v>15</v>
      </c>
      <c r="H46" s="16"/>
      <c r="I46" s="5">
        <f>SUM(I13:I44)/I50</f>
        <v>0.83687499999999992</v>
      </c>
      <c r="J46" s="15">
        <v>34.200000000000003</v>
      </c>
      <c r="K46" s="42"/>
      <c r="V46" s="15">
        <v>55.5</v>
      </c>
      <c r="W46" s="15">
        <f t="shared" si="0"/>
        <v>56.5</v>
      </c>
      <c r="X46">
        <f t="shared" si="1"/>
        <v>1.7520484478194385</v>
      </c>
      <c r="Y46">
        <f t="shared" si="2"/>
        <v>38</v>
      </c>
      <c r="Z46">
        <f t="shared" si="3"/>
        <v>54.551933330105442</v>
      </c>
    </row>
    <row r="47" spans="1:26" x14ac:dyDescent="0.45">
      <c r="B47" s="5"/>
      <c r="C47" s="5"/>
      <c r="D47" s="5"/>
      <c r="E47" s="5"/>
      <c r="F47" s="5" t="s">
        <v>195</v>
      </c>
      <c r="G47" s="5"/>
      <c r="H47" s="5"/>
      <c r="I47" s="5">
        <f>MEDIAN(I13:I44)</f>
        <v>0.84</v>
      </c>
      <c r="J47" s="15">
        <v>6.51</v>
      </c>
      <c r="K47" s="42"/>
      <c r="V47" s="15">
        <v>56.5</v>
      </c>
      <c r="W47" s="15">
        <f t="shared" si="0"/>
        <v>57.5</v>
      </c>
      <c r="X47">
        <f t="shared" si="1"/>
        <v>1.7596678446896306</v>
      </c>
      <c r="Y47">
        <f t="shared" si="2"/>
        <v>39</v>
      </c>
      <c r="Z47">
        <f t="shared" si="3"/>
        <v>56.311601174795072</v>
      </c>
    </row>
    <row r="48" spans="1:26" ht="15.75" x14ac:dyDescent="0.45">
      <c r="B48" s="5"/>
      <c r="C48" s="5"/>
      <c r="D48" s="5"/>
      <c r="E48" s="5"/>
      <c r="F48" s="5"/>
      <c r="G48" s="5"/>
      <c r="H48" s="5"/>
      <c r="I48" s="5">
        <f>SMALL(I$13:I$44,1)</f>
        <v>0.56999999999999995</v>
      </c>
      <c r="J48" s="15">
        <v>67.099999999999994</v>
      </c>
      <c r="K48" s="42"/>
      <c r="N48" t="s">
        <v>109</v>
      </c>
      <c r="V48" s="15">
        <v>57</v>
      </c>
      <c r="W48" s="15">
        <f t="shared" si="0"/>
        <v>58</v>
      </c>
      <c r="X48">
        <f t="shared" si="1"/>
        <v>1.7634279935629373</v>
      </c>
      <c r="Y48">
        <f t="shared" si="2"/>
        <v>40</v>
      </c>
      <c r="Z48">
        <f t="shared" si="3"/>
        <v>58.075029168358007</v>
      </c>
    </row>
    <row r="49" spans="2:26" x14ac:dyDescent="0.45">
      <c r="B49" s="5"/>
      <c r="C49" s="5"/>
      <c r="D49" s="5"/>
      <c r="E49" s="5"/>
      <c r="F49" s="5"/>
      <c r="G49" s="5"/>
      <c r="H49" s="5"/>
      <c r="I49" s="5">
        <f>SMALL(I$13:I$44,I50)</f>
        <v>1.1399999999999999</v>
      </c>
      <c r="J49" s="15">
        <v>28.9</v>
      </c>
      <c r="K49" s="42"/>
      <c r="N49" t="s">
        <v>110</v>
      </c>
      <c r="V49" s="15">
        <v>60.4</v>
      </c>
      <c r="W49" s="15">
        <f t="shared" si="0"/>
        <v>61.4</v>
      </c>
      <c r="X49">
        <f t="shared" si="1"/>
        <v>1.7881683711411678</v>
      </c>
      <c r="Y49">
        <f t="shared" si="2"/>
        <v>41</v>
      </c>
      <c r="Z49">
        <f t="shared" si="3"/>
        <v>59.863197539499176</v>
      </c>
    </row>
    <row r="50" spans="2:26" x14ac:dyDescent="0.45">
      <c r="B50" s="5"/>
      <c r="C50" s="5"/>
      <c r="D50" s="5"/>
      <c r="E50" s="5"/>
      <c r="F50" s="5"/>
      <c r="G50" s="5"/>
      <c r="H50" s="5"/>
      <c r="I50" s="16">
        <v>32</v>
      </c>
      <c r="J50" s="15">
        <v>43.1</v>
      </c>
      <c r="K50" s="42"/>
      <c r="V50" s="15">
        <v>64.8</v>
      </c>
      <c r="W50" s="15">
        <f t="shared" si="0"/>
        <v>65.8</v>
      </c>
      <c r="X50">
        <f t="shared" si="1"/>
        <v>1.8182258936139555</v>
      </c>
      <c r="Y50">
        <f t="shared" si="2"/>
        <v>42</v>
      </c>
      <c r="Z50">
        <f t="shared" si="3"/>
        <v>61.681423433113132</v>
      </c>
    </row>
    <row r="51" spans="2:26" x14ac:dyDescent="0.45">
      <c r="B51" s="5"/>
      <c r="C51" s="5"/>
      <c r="D51" s="5"/>
      <c r="E51" s="5"/>
      <c r="F51" s="5"/>
      <c r="G51" s="5"/>
      <c r="H51" s="5"/>
      <c r="I51" s="5"/>
      <c r="J51" s="15">
        <v>44.2</v>
      </c>
      <c r="K51" s="42"/>
      <c r="V51" s="15">
        <v>67.099999999999994</v>
      </c>
      <c r="W51" s="15">
        <f t="shared" si="0"/>
        <v>68.099999999999994</v>
      </c>
      <c r="X51">
        <f t="shared" si="1"/>
        <v>1.8331471119127851</v>
      </c>
      <c r="Y51">
        <f t="shared" si="2"/>
        <v>43</v>
      </c>
      <c r="Z51">
        <f t="shared" si="3"/>
        <v>63.514570545025919</v>
      </c>
    </row>
    <row r="52" spans="2:26" x14ac:dyDescent="0.45">
      <c r="B52" s="5"/>
      <c r="C52" s="5"/>
      <c r="D52" s="5"/>
      <c r="E52" s="5"/>
      <c r="F52" s="5"/>
      <c r="G52" s="5"/>
      <c r="H52" s="5"/>
      <c r="I52" s="5"/>
      <c r="J52" s="15">
        <v>32.299999999999997</v>
      </c>
      <c r="K52" s="42"/>
      <c r="V52" s="15">
        <v>69.5</v>
      </c>
      <c r="W52" s="15">
        <f t="shared" si="0"/>
        <v>70.5</v>
      </c>
      <c r="X52">
        <f t="shared" si="1"/>
        <v>1.8481891169913987</v>
      </c>
      <c r="Y52">
        <f t="shared" si="2"/>
        <v>44</v>
      </c>
      <c r="Z52">
        <f t="shared" si="3"/>
        <v>65.362759662017311</v>
      </c>
    </row>
    <row r="53" spans="2:26" x14ac:dyDescent="0.45">
      <c r="B53" s="5"/>
      <c r="C53" s="5"/>
      <c r="D53" s="5"/>
      <c r="E53" s="5"/>
      <c r="F53" s="5"/>
      <c r="G53" s="5"/>
      <c r="H53" s="5"/>
      <c r="I53" s="5"/>
    </row>
    <row r="54" spans="2:26" x14ac:dyDescent="0.45">
      <c r="B54" s="5"/>
      <c r="C54" s="5"/>
      <c r="D54" s="5"/>
      <c r="E54" s="5"/>
      <c r="F54" s="5"/>
      <c r="G54" s="5"/>
      <c r="H54" s="5"/>
      <c r="I54" s="5"/>
    </row>
  </sheetData>
  <sortState ref="V9:V52">
    <sortCondition ref="V9:V52"/>
  </sortState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workbookViewId="0">
      <selection activeCell="B43" sqref="B43"/>
    </sheetView>
  </sheetViews>
  <sheetFormatPr defaultRowHeight="14.25" x14ac:dyDescent="0.45"/>
  <cols>
    <col min="1" max="1" width="10.86328125" customWidth="1"/>
    <col min="2" max="2" width="14.86328125" customWidth="1"/>
    <col min="3" max="3" width="12.53125" customWidth="1"/>
    <col min="4" max="4" width="12.6640625" customWidth="1"/>
    <col min="5" max="5" width="9.86328125" customWidth="1"/>
    <col min="7" max="7" width="15.19921875" customWidth="1"/>
    <col min="8" max="10" width="14.19921875" customWidth="1"/>
    <col min="11" max="11" width="14.46484375" customWidth="1"/>
    <col min="12" max="12" width="12.33203125" customWidth="1"/>
  </cols>
  <sheetData>
    <row r="1" spans="1:16" ht="18" x14ac:dyDescent="0.55000000000000004">
      <c r="A1" s="7" t="s">
        <v>13</v>
      </c>
      <c r="B1" s="8"/>
      <c r="C1" s="8"/>
    </row>
    <row r="2" spans="1:16" x14ac:dyDescent="0.45">
      <c r="A2" t="s">
        <v>0</v>
      </c>
    </row>
    <row r="3" spans="1:16" x14ac:dyDescent="0.45">
      <c r="A3" t="s">
        <v>1</v>
      </c>
      <c r="B3" s="11">
        <v>40582</v>
      </c>
      <c r="C3" s="11">
        <v>40582</v>
      </c>
      <c r="D3" s="11">
        <v>40582</v>
      </c>
      <c r="G3" s="12">
        <v>40584</v>
      </c>
      <c r="H3" s="12">
        <v>40584</v>
      </c>
      <c r="I3" s="12"/>
      <c r="J3" s="12"/>
      <c r="L3" s="114"/>
    </row>
    <row r="4" spans="1:16" x14ac:dyDescent="0.45">
      <c r="A4" t="s">
        <v>2</v>
      </c>
      <c r="B4">
        <v>2</v>
      </c>
      <c r="C4">
        <v>1</v>
      </c>
      <c r="D4">
        <v>2</v>
      </c>
      <c r="G4">
        <v>1</v>
      </c>
      <c r="H4">
        <v>2</v>
      </c>
      <c r="I4">
        <v>3</v>
      </c>
      <c r="J4">
        <v>4</v>
      </c>
      <c r="K4">
        <v>5</v>
      </c>
    </row>
    <row r="5" spans="1:16" x14ac:dyDescent="0.45">
      <c r="A5" t="s">
        <v>3</v>
      </c>
      <c r="B5" t="s">
        <v>4</v>
      </c>
      <c r="C5" t="s">
        <v>5</v>
      </c>
      <c r="D5" s="10" t="s">
        <v>14</v>
      </c>
    </row>
    <row r="6" spans="1:16" x14ac:dyDescent="0.45">
      <c r="A6" t="s">
        <v>122</v>
      </c>
    </row>
    <row r="7" spans="1:16" ht="15.75" x14ac:dyDescent="0.45">
      <c r="A7" t="s">
        <v>77</v>
      </c>
      <c r="D7" s="17" t="s">
        <v>75</v>
      </c>
      <c r="G7" s="17" t="s">
        <v>76</v>
      </c>
      <c r="H7" s="17" t="s">
        <v>74</v>
      </c>
      <c r="I7" s="17" t="s">
        <v>74</v>
      </c>
      <c r="J7" s="17" t="s">
        <v>75</v>
      </c>
      <c r="K7" s="17" t="s">
        <v>78</v>
      </c>
    </row>
    <row r="8" spans="1:16" x14ac:dyDescent="0.45">
      <c r="A8" t="s">
        <v>8</v>
      </c>
      <c r="B8">
        <v>752408</v>
      </c>
      <c r="C8">
        <v>749075</v>
      </c>
      <c r="D8">
        <v>746452</v>
      </c>
      <c r="G8">
        <v>752450</v>
      </c>
      <c r="H8">
        <v>753567</v>
      </c>
      <c r="I8">
        <v>753698</v>
      </c>
      <c r="J8">
        <v>753704</v>
      </c>
      <c r="K8">
        <v>753710</v>
      </c>
    </row>
    <row r="9" spans="1:16" x14ac:dyDescent="0.45">
      <c r="A9" t="s">
        <v>9</v>
      </c>
      <c r="B9">
        <v>5613883</v>
      </c>
      <c r="C9">
        <v>5550276</v>
      </c>
      <c r="D9">
        <v>5569037</v>
      </c>
      <c r="G9">
        <v>5613857</v>
      </c>
      <c r="H9">
        <v>5614512</v>
      </c>
      <c r="I9">
        <v>5614477</v>
      </c>
      <c r="J9">
        <v>5614382</v>
      </c>
      <c r="K9">
        <v>5614352</v>
      </c>
    </row>
    <row r="10" spans="1:16" x14ac:dyDescent="0.45">
      <c r="B10" t="s">
        <v>55</v>
      </c>
      <c r="C10" t="s">
        <v>56</v>
      </c>
      <c r="D10" t="s">
        <v>72</v>
      </c>
      <c r="G10" t="s">
        <v>55</v>
      </c>
      <c r="H10" t="s">
        <v>73</v>
      </c>
      <c r="I10" t="s">
        <v>73</v>
      </c>
      <c r="J10" t="s">
        <v>73</v>
      </c>
      <c r="K10" t="s">
        <v>73</v>
      </c>
    </row>
    <row r="12" spans="1:16" x14ac:dyDescent="0.45">
      <c r="B12" s="5">
        <v>0.67</v>
      </c>
      <c r="C12">
        <v>0.44</v>
      </c>
      <c r="D12" s="5">
        <v>0.56999999999999995</v>
      </c>
      <c r="G12" s="5">
        <v>1.5</v>
      </c>
      <c r="H12" s="5">
        <v>0.79</v>
      </c>
      <c r="I12" s="5">
        <v>0.67</v>
      </c>
      <c r="J12" s="5">
        <v>0.74</v>
      </c>
      <c r="K12" s="5">
        <v>0.6</v>
      </c>
      <c r="O12" t="s">
        <v>111</v>
      </c>
      <c r="P12" s="6">
        <f>COUNTIF(D$12:D$31,"&gt;=0")-COUNTIF(D$12:D$31,"&gt;0.9999")</f>
        <v>6</v>
      </c>
    </row>
    <row r="13" spans="1:16" x14ac:dyDescent="0.45">
      <c r="B13" s="5">
        <v>0.77</v>
      </c>
      <c r="C13">
        <v>0.38</v>
      </c>
      <c r="D13" s="29">
        <v>0.77</v>
      </c>
      <c r="G13">
        <v>0.72</v>
      </c>
      <c r="H13" s="5">
        <v>0.87</v>
      </c>
      <c r="I13" s="5">
        <v>0.72</v>
      </c>
      <c r="J13" s="5">
        <v>0.78</v>
      </c>
      <c r="K13" s="5">
        <v>0.76</v>
      </c>
      <c r="O13" s="42" t="s">
        <v>112</v>
      </c>
      <c r="P13" s="6">
        <f>COUNTIF(D$12:D$31,"&gt;=1.0")-COUNTIF(D$12:D$31,"&gt;1.9999")</f>
        <v>4</v>
      </c>
    </row>
    <row r="14" spans="1:16" x14ac:dyDescent="0.45">
      <c r="B14" s="5">
        <v>0.35</v>
      </c>
      <c r="C14" s="25"/>
      <c r="D14" s="5">
        <v>0.68</v>
      </c>
      <c r="F14" s="25" t="s">
        <v>70</v>
      </c>
      <c r="G14" s="25">
        <v>0.82</v>
      </c>
      <c r="H14" s="5">
        <v>0.93</v>
      </c>
      <c r="I14" s="5">
        <v>0.61</v>
      </c>
      <c r="J14" s="5">
        <v>0.72</v>
      </c>
      <c r="K14" s="5">
        <v>0.83</v>
      </c>
      <c r="O14" s="42" t="s">
        <v>113</v>
      </c>
      <c r="P14" s="6">
        <f>COUNTIF(D$12:D$31,"&gt;=2.0")-COUNTIF(D$12:D$31,"&gt;2.9999")</f>
        <v>1</v>
      </c>
    </row>
    <row r="15" spans="1:16" x14ac:dyDescent="0.45">
      <c r="B15" s="5">
        <v>0.94</v>
      </c>
      <c r="D15" s="24">
        <v>0.53</v>
      </c>
      <c r="E15" t="s">
        <v>67</v>
      </c>
      <c r="F15" t="s">
        <v>71</v>
      </c>
      <c r="G15" s="28">
        <v>0.63</v>
      </c>
      <c r="H15" s="5">
        <v>0.82</v>
      </c>
      <c r="I15" s="5">
        <v>0.73</v>
      </c>
      <c r="J15" s="5">
        <v>0.95</v>
      </c>
      <c r="K15" s="5">
        <v>0.78</v>
      </c>
      <c r="O15" s="42" t="s">
        <v>114</v>
      </c>
      <c r="P15" s="6">
        <f>COUNTIF(D$12:D$31,"&gt;=3.0")-COUNTIF(D$12:D$31,"&gt;3.9999")</f>
        <v>1</v>
      </c>
    </row>
    <row r="16" spans="1:16" x14ac:dyDescent="0.45">
      <c r="B16" s="5">
        <v>0.81</v>
      </c>
      <c r="D16" s="30">
        <v>7.97</v>
      </c>
      <c r="E16" t="s">
        <v>68</v>
      </c>
      <c r="G16" s="28">
        <v>0.63</v>
      </c>
      <c r="H16" s="5">
        <v>0.87</v>
      </c>
      <c r="I16" s="5">
        <v>0.88</v>
      </c>
      <c r="J16" s="5">
        <v>13</v>
      </c>
      <c r="K16" s="5">
        <v>0.67</v>
      </c>
      <c r="O16" s="42" t="s">
        <v>115</v>
      </c>
      <c r="P16" s="6">
        <f>COUNTIF(D$12:D$31,"&gt;=4.0")-COUNTIF(D$12:D$31,"&gt;4.9999")</f>
        <v>2</v>
      </c>
    </row>
    <row r="17" spans="2:16" x14ac:dyDescent="0.45">
      <c r="B17" s="5">
        <v>0.87</v>
      </c>
      <c r="D17" s="30">
        <v>0.86</v>
      </c>
      <c r="G17" s="28">
        <v>0.7</v>
      </c>
      <c r="H17" s="5">
        <v>0.79</v>
      </c>
      <c r="I17" s="5">
        <v>0.75</v>
      </c>
      <c r="J17" s="5">
        <v>1.43</v>
      </c>
      <c r="K17" s="5">
        <v>0.79</v>
      </c>
      <c r="O17" s="42" t="s">
        <v>116</v>
      </c>
      <c r="P17" s="6">
        <f>COUNTIF(D$12:D$31,"&gt;=5.0")-COUNTIF(D$12:D$31,"&gt;5.9999")</f>
        <v>1</v>
      </c>
    </row>
    <row r="18" spans="2:16" x14ac:dyDescent="0.45">
      <c r="B18" s="5">
        <v>0.59</v>
      </c>
      <c r="D18" s="30">
        <v>6.33</v>
      </c>
      <c r="G18" s="28">
        <v>0.69</v>
      </c>
      <c r="H18" s="5">
        <v>0.68</v>
      </c>
      <c r="I18" s="5">
        <v>0.8</v>
      </c>
      <c r="J18" s="5">
        <v>1.06</v>
      </c>
      <c r="K18" s="5">
        <v>0.74</v>
      </c>
      <c r="O18" s="42" t="s">
        <v>117</v>
      </c>
      <c r="P18" s="6">
        <f>COUNTIF(D$12:D$31,"&gt;=6.0")-COUNTIF(D$12:D$31,"&gt;6.9999")</f>
        <v>2</v>
      </c>
    </row>
    <row r="19" spans="2:16" x14ac:dyDescent="0.45">
      <c r="B19" s="5">
        <v>0.67</v>
      </c>
      <c r="D19" s="30">
        <v>1.1200000000000001</v>
      </c>
      <c r="G19" s="28">
        <v>0.64</v>
      </c>
      <c r="H19" s="5">
        <v>1.07</v>
      </c>
      <c r="I19" s="5">
        <v>0.83</v>
      </c>
      <c r="J19" s="5">
        <v>0.91</v>
      </c>
      <c r="K19" s="5">
        <v>0.84</v>
      </c>
      <c r="O19" s="42" t="s">
        <v>118</v>
      </c>
      <c r="P19" s="6">
        <f>COUNTIF(D$12:D$31,"&gt;=7.0")-COUNTIF(D$12:D$31,"&gt;7.9999")</f>
        <v>2</v>
      </c>
    </row>
    <row r="20" spans="2:16" x14ac:dyDescent="0.45">
      <c r="B20" s="5">
        <v>0.75</v>
      </c>
      <c r="D20" s="30">
        <v>10.199999999999999</v>
      </c>
      <c r="G20" s="28">
        <v>0.59</v>
      </c>
      <c r="H20" s="5">
        <v>1.01</v>
      </c>
      <c r="I20" s="5">
        <v>0.8</v>
      </c>
      <c r="J20" s="5">
        <v>0.87</v>
      </c>
      <c r="K20" s="5">
        <v>0.77</v>
      </c>
      <c r="O20" s="42" t="s">
        <v>119</v>
      </c>
      <c r="P20" s="6">
        <f>COUNTIF(D$12:D$31,"&gt;=8.0")-COUNTIF(D$12:D$31,"&gt;8.9999")</f>
        <v>0</v>
      </c>
    </row>
    <row r="21" spans="2:16" x14ac:dyDescent="0.45">
      <c r="B21" s="5">
        <v>0.92</v>
      </c>
      <c r="D21" s="30">
        <v>4.95</v>
      </c>
      <c r="G21" s="28">
        <v>0.9</v>
      </c>
      <c r="H21" s="5">
        <v>7.31</v>
      </c>
      <c r="I21" s="5">
        <v>0.84</v>
      </c>
      <c r="J21" s="5">
        <v>0.7</v>
      </c>
      <c r="K21" s="5">
        <v>0.66</v>
      </c>
      <c r="O21" s="42" t="s">
        <v>120</v>
      </c>
      <c r="P21" s="6">
        <f>COUNTIF(D$12:D$31,"&gt;=9.0")-COUNTIF(D$12:D$31,"&gt;9.9999")</f>
        <v>0</v>
      </c>
    </row>
    <row r="22" spans="2:16" x14ac:dyDescent="0.45">
      <c r="B22" s="5">
        <v>0.74</v>
      </c>
      <c r="D22" s="30">
        <v>4.4000000000000004</v>
      </c>
      <c r="G22" s="28">
        <v>0.56999999999999995</v>
      </c>
      <c r="H22" s="5">
        <v>1.86</v>
      </c>
      <c r="I22" s="5">
        <v>0.98</v>
      </c>
      <c r="J22" s="5">
        <v>0.56999999999999995</v>
      </c>
      <c r="K22" s="5">
        <v>0.95</v>
      </c>
      <c r="O22" s="42" t="s">
        <v>121</v>
      </c>
      <c r="P22" s="6">
        <f>COUNTIF(D$12:D$31,"&gt;=10.0")-COUNTIF(D$12:D$31,"&gt;10.9999")</f>
        <v>1</v>
      </c>
    </row>
    <row r="23" spans="2:16" x14ac:dyDescent="0.45">
      <c r="B23" s="5">
        <v>2.2400000000000002</v>
      </c>
      <c r="D23" s="30">
        <v>7.3</v>
      </c>
      <c r="G23" s="28">
        <v>0.72</v>
      </c>
      <c r="H23" s="5">
        <v>0.85</v>
      </c>
      <c r="I23" s="5">
        <v>0.67</v>
      </c>
      <c r="J23" s="5">
        <v>0.54</v>
      </c>
      <c r="K23" s="5">
        <v>0.96</v>
      </c>
    </row>
    <row r="24" spans="2:16" x14ac:dyDescent="0.45">
      <c r="B24" s="5">
        <v>2.64</v>
      </c>
      <c r="D24" s="30">
        <v>1.41</v>
      </c>
      <c r="G24" s="28">
        <v>0.54</v>
      </c>
      <c r="H24" s="5">
        <v>1.04</v>
      </c>
      <c r="I24" s="5">
        <v>0.84</v>
      </c>
      <c r="J24" s="5">
        <v>0.85</v>
      </c>
      <c r="K24" s="5">
        <v>0.63</v>
      </c>
    </row>
    <row r="25" spans="2:16" x14ac:dyDescent="0.45">
      <c r="B25" s="5">
        <v>0.85</v>
      </c>
      <c r="D25" s="30">
        <v>3.3</v>
      </c>
      <c r="G25" s="28">
        <v>0.59</v>
      </c>
      <c r="H25" s="5">
        <v>0.77</v>
      </c>
      <c r="I25" s="5"/>
      <c r="J25" s="5">
        <v>0.66</v>
      </c>
      <c r="K25" s="5">
        <v>0.79</v>
      </c>
    </row>
    <row r="26" spans="2:16" x14ac:dyDescent="0.45">
      <c r="B26" s="5">
        <v>0.8</v>
      </c>
      <c r="D26" s="30">
        <v>6.04</v>
      </c>
      <c r="G26" s="28">
        <v>0.79</v>
      </c>
      <c r="H26" s="5">
        <v>2.5099999999999998</v>
      </c>
      <c r="I26" s="5"/>
      <c r="J26" s="5">
        <v>0.55000000000000004</v>
      </c>
      <c r="K26" s="5">
        <v>0.86</v>
      </c>
    </row>
    <row r="27" spans="2:16" x14ac:dyDescent="0.45">
      <c r="B27" s="5">
        <v>0.23</v>
      </c>
      <c r="D27" s="30">
        <v>2.98</v>
      </c>
      <c r="G27" s="28">
        <v>0.72</v>
      </c>
      <c r="H27" s="5">
        <v>5.91</v>
      </c>
      <c r="I27" s="5"/>
      <c r="J27" s="5"/>
      <c r="K27" s="5">
        <v>0.99</v>
      </c>
    </row>
    <row r="28" spans="2:16" x14ac:dyDescent="0.45">
      <c r="C28" s="5"/>
      <c r="D28" s="30">
        <v>1.03</v>
      </c>
      <c r="G28" s="28">
        <v>0.68</v>
      </c>
      <c r="H28" s="5">
        <v>2.4500000000000002</v>
      </c>
      <c r="I28" s="5"/>
      <c r="J28" s="5"/>
      <c r="K28" s="5">
        <v>1.03</v>
      </c>
    </row>
    <row r="29" spans="2:16" x14ac:dyDescent="0.45">
      <c r="C29" s="5"/>
      <c r="D29" s="30">
        <v>5.28</v>
      </c>
      <c r="G29" s="28">
        <v>0.73</v>
      </c>
      <c r="H29" s="5">
        <v>4.7</v>
      </c>
      <c r="I29" s="5"/>
      <c r="J29" s="5"/>
      <c r="K29" s="5">
        <v>1</v>
      </c>
    </row>
    <row r="30" spans="2:16" x14ac:dyDescent="0.45">
      <c r="C30" s="5"/>
      <c r="D30" s="30">
        <v>1</v>
      </c>
      <c r="G30" s="28">
        <v>0.77</v>
      </c>
      <c r="H30" s="5">
        <v>1.79</v>
      </c>
      <c r="I30" s="5"/>
      <c r="J30" s="5"/>
      <c r="K30" s="5">
        <v>0.96</v>
      </c>
    </row>
    <row r="31" spans="2:16" x14ac:dyDescent="0.45">
      <c r="C31" s="5"/>
      <c r="D31" s="30">
        <v>0.47</v>
      </c>
      <c r="G31" s="28">
        <v>0.87</v>
      </c>
      <c r="H31" s="5">
        <v>3.12</v>
      </c>
      <c r="I31" s="5"/>
      <c r="J31" s="5"/>
      <c r="K31" s="5">
        <v>0.61</v>
      </c>
    </row>
    <row r="32" spans="2:16" x14ac:dyDescent="0.45">
      <c r="C32" s="15"/>
      <c r="D32" s="5"/>
      <c r="H32" s="5"/>
      <c r="I32" s="5"/>
      <c r="J32" s="5"/>
      <c r="K32" s="5">
        <v>0.74</v>
      </c>
    </row>
    <row r="33" spans="1:11" x14ac:dyDescent="0.45">
      <c r="C33" s="15"/>
      <c r="D33" s="5"/>
      <c r="H33" s="5"/>
      <c r="I33" s="5"/>
      <c r="J33" s="5"/>
      <c r="K33" s="5">
        <v>0.47</v>
      </c>
    </row>
    <row r="34" spans="1:11" x14ac:dyDescent="0.45">
      <c r="C34" s="15"/>
      <c r="D34" s="5"/>
      <c r="H34" s="5"/>
      <c r="I34" s="5"/>
      <c r="J34" s="5"/>
      <c r="K34" s="5">
        <v>0.51</v>
      </c>
    </row>
    <row r="35" spans="1:11" x14ac:dyDescent="0.45">
      <c r="C35" s="15"/>
      <c r="D35" s="5"/>
      <c r="H35" s="5"/>
      <c r="I35" s="5"/>
      <c r="J35" s="5"/>
      <c r="K35" s="5"/>
    </row>
    <row r="37" spans="1:11" s="34" customFormat="1" x14ac:dyDescent="0.45">
      <c r="A37" s="34" t="s">
        <v>22</v>
      </c>
      <c r="B37" s="35">
        <f>SUM(B$12:B$27)/16</f>
        <v>0.9275000000000001</v>
      </c>
      <c r="D37" s="35">
        <f>SUM(D$12:D$31)/20</f>
        <v>3.3594999999999993</v>
      </c>
      <c r="G37" s="35">
        <f>SUM(G$12:G$31)/20</f>
        <v>0.73999999999999988</v>
      </c>
      <c r="H37" s="35">
        <f>SUM(H$12:H$31)/20</f>
        <v>2.0070000000000001</v>
      </c>
      <c r="I37" s="35">
        <f>SUM(I$12:I$24)/13</f>
        <v>0.77846153846153843</v>
      </c>
      <c r="J37" s="35">
        <f>SUM(J$12:J$26)/15</f>
        <v>1.6220000000000001</v>
      </c>
      <c r="K37" s="35">
        <f>SUM(K$12:K$34)/23</f>
        <v>0.77999999999999992</v>
      </c>
    </row>
    <row r="38" spans="1:11" s="1" customFormat="1" x14ac:dyDescent="0.45">
      <c r="A38" s="1" t="s">
        <v>23</v>
      </c>
      <c r="B38" s="39">
        <f>MEDIAN(B$12:B$27)</f>
        <v>0.78500000000000003</v>
      </c>
      <c r="D38" s="39">
        <f>MEDIAN(D$12:D$31)</f>
        <v>2.1949999999999998</v>
      </c>
      <c r="G38" s="39">
        <f>MEDIAN(G$12:G$31)</f>
        <v>0.71</v>
      </c>
      <c r="H38" s="39">
        <f>MEDIAN(H$12:H$31)</f>
        <v>1.0249999999999999</v>
      </c>
      <c r="I38" s="39">
        <f>MEDIAN(I$12:I$24)</f>
        <v>0.8</v>
      </c>
      <c r="J38" s="39">
        <f>MEDIAN(J$12:J$26)</f>
        <v>0.78</v>
      </c>
      <c r="K38" s="39">
        <f>MEDIAN(K$12:K$34)</f>
        <v>0.78</v>
      </c>
    </row>
    <row r="39" spans="1:11" s="34" customFormat="1" x14ac:dyDescent="0.45">
      <c r="A39" s="34" t="s">
        <v>25</v>
      </c>
      <c r="B39" s="35">
        <f>SMALL(B$12:B$27,1)</f>
        <v>0.23</v>
      </c>
      <c r="D39" s="35">
        <f>SMALL(D$12:D$31,1)</f>
        <v>0.47</v>
      </c>
      <c r="G39" s="35">
        <f>SMALL(G$12:G$31,1)</f>
        <v>0.54</v>
      </c>
      <c r="H39" s="35">
        <f>SMALL(H$12:H$31,1)</f>
        <v>0.68</v>
      </c>
      <c r="I39" s="35">
        <f>SMALL(I$12:I$24,1)</f>
        <v>0.61</v>
      </c>
      <c r="J39" s="35">
        <f>SMALL(J$12:J$26,1)</f>
        <v>0.54</v>
      </c>
      <c r="K39" s="35">
        <f>SMALL(K$12:K$34,1)</f>
        <v>0.47</v>
      </c>
    </row>
    <row r="40" spans="1:11" x14ac:dyDescent="0.45">
      <c r="A40" t="s">
        <v>24</v>
      </c>
      <c r="B40" s="5">
        <f>SMALL(B$12:B$27,16)</f>
        <v>2.64</v>
      </c>
      <c r="D40" s="5">
        <f>SMALL(D$12:D$31,20)</f>
        <v>10.199999999999999</v>
      </c>
      <c r="G40" s="5">
        <f>SMALL(G$12:G$31,20)</f>
        <v>1.5</v>
      </c>
      <c r="H40" s="5">
        <f>SMALL(H$12:H$31,20)</f>
        <v>7.31</v>
      </c>
      <c r="I40" s="5">
        <f>SMALL(I$12:I$24,13)</f>
        <v>0.98</v>
      </c>
      <c r="J40" s="5">
        <f>SMALL(J$12:J$26,15)</f>
        <v>13</v>
      </c>
      <c r="K40" s="5">
        <f>SMALL(K$12:K$34,23)</f>
        <v>1.03</v>
      </c>
    </row>
    <row r="41" spans="1:11" s="34" customFormat="1" x14ac:dyDescent="0.45">
      <c r="A41" s="34" t="s">
        <v>52</v>
      </c>
      <c r="B41" s="37">
        <v>16</v>
      </c>
      <c r="D41" s="37">
        <v>20</v>
      </c>
      <c r="G41" s="37">
        <v>20</v>
      </c>
      <c r="H41" s="37">
        <v>20</v>
      </c>
      <c r="I41" s="37">
        <v>13</v>
      </c>
      <c r="J41" s="37">
        <v>15</v>
      </c>
      <c r="K41" s="37">
        <v>23</v>
      </c>
    </row>
    <row r="42" spans="1:11" x14ac:dyDescent="0.45">
      <c r="C42" s="15"/>
      <c r="D42" s="5"/>
    </row>
    <row r="43" spans="1:11" x14ac:dyDescent="0.45">
      <c r="A43" t="s">
        <v>223</v>
      </c>
      <c r="B43" s="5">
        <f>MEDIAN(B12:B27, G12:G31, H12:H31, I12:I24, J12:J26, K12:K34)</f>
        <v>0.79</v>
      </c>
      <c r="C43" s="15"/>
      <c r="D43" s="5"/>
    </row>
    <row r="44" spans="1:11" x14ac:dyDescent="0.45">
      <c r="D44" s="5"/>
    </row>
    <row r="45" spans="1:11" x14ac:dyDescent="0.45">
      <c r="D45" s="5"/>
    </row>
    <row r="46" spans="1:11" x14ac:dyDescent="0.45">
      <c r="D46" s="5"/>
    </row>
    <row r="47" spans="1:11" x14ac:dyDescent="0.45">
      <c r="D47" s="5"/>
    </row>
    <row r="48" spans="1:11" x14ac:dyDescent="0.45">
      <c r="D48" s="5"/>
    </row>
    <row r="49" spans="4:4" x14ac:dyDescent="0.45">
      <c r="D49" s="5"/>
    </row>
    <row r="50" spans="4:4" x14ac:dyDescent="0.45">
      <c r="D50" s="5"/>
    </row>
    <row r="51" spans="4:4" x14ac:dyDescent="0.45">
      <c r="D51" s="5"/>
    </row>
    <row r="52" spans="4:4" x14ac:dyDescent="0.45">
      <c r="D52" s="5"/>
    </row>
    <row r="53" spans="4:4" x14ac:dyDescent="0.45">
      <c r="D53" s="5"/>
    </row>
    <row r="54" spans="4:4" x14ac:dyDescent="0.45">
      <c r="D54" s="5"/>
    </row>
    <row r="55" spans="4:4" x14ac:dyDescent="0.45">
      <c r="D55" s="5"/>
    </row>
    <row r="56" spans="4:4" x14ac:dyDescent="0.45">
      <c r="D56" s="5"/>
    </row>
    <row r="57" spans="4:4" x14ac:dyDescent="0.45">
      <c r="D57" s="5"/>
    </row>
    <row r="58" spans="4:4" x14ac:dyDescent="0.45">
      <c r="D58" s="5"/>
    </row>
  </sheetData>
  <pageMargins left="0.7" right="0.7" top="0.75" bottom="0.75" header="0.3" footer="0.3"/>
  <pageSetup paperSize="9" orientation="portrait" horizontalDpi="1200" verticalDpi="1200" r:id="rId1"/>
  <ignoredErrors>
    <ignoredError sqref="K37:K40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>
      <selection activeCell="B57" sqref="B57"/>
    </sheetView>
  </sheetViews>
  <sheetFormatPr defaultRowHeight="14.25" x14ac:dyDescent="0.45"/>
  <cols>
    <col min="1" max="1" width="10.19921875" customWidth="1"/>
    <col min="2" max="2" width="17.796875" customWidth="1"/>
  </cols>
  <sheetData>
    <row r="1" spans="1:9" ht="18" x14ac:dyDescent="0.55000000000000004">
      <c r="A1" s="7" t="s">
        <v>13</v>
      </c>
      <c r="B1" s="8"/>
      <c r="C1" s="8"/>
      <c r="D1" s="8"/>
      <c r="E1" s="8"/>
      <c r="F1" s="9"/>
      <c r="G1" s="8"/>
      <c r="H1" s="8"/>
      <c r="I1" s="8"/>
    </row>
    <row r="2" spans="1:9" x14ac:dyDescent="0.45">
      <c r="A2" t="s">
        <v>0</v>
      </c>
    </row>
    <row r="3" spans="1:9" x14ac:dyDescent="0.45">
      <c r="A3" t="s">
        <v>1</v>
      </c>
      <c r="B3" s="11">
        <v>40582</v>
      </c>
      <c r="C3" s="11"/>
      <c r="D3" s="12"/>
      <c r="E3" s="12"/>
      <c r="F3" s="12"/>
      <c r="G3" s="2"/>
      <c r="H3" s="2"/>
    </row>
    <row r="4" spans="1:9" x14ac:dyDescent="0.45">
      <c r="A4" t="s">
        <v>2</v>
      </c>
      <c r="B4">
        <v>1</v>
      </c>
    </row>
    <row r="6" spans="1:9" x14ac:dyDescent="0.45">
      <c r="A6" t="s">
        <v>3</v>
      </c>
      <c r="B6" t="s">
        <v>4</v>
      </c>
      <c r="C6" t="s">
        <v>5</v>
      </c>
      <c r="D6" s="14" t="s">
        <v>6</v>
      </c>
      <c r="E6" t="s">
        <v>7</v>
      </c>
    </row>
    <row r="7" spans="1:9" x14ac:dyDescent="0.45">
      <c r="B7" t="s">
        <v>32</v>
      </c>
    </row>
    <row r="8" spans="1:9" x14ac:dyDescent="0.45">
      <c r="A8" t="s">
        <v>8</v>
      </c>
      <c r="B8">
        <v>253771</v>
      </c>
    </row>
    <row r="9" spans="1:9" x14ac:dyDescent="0.45">
      <c r="A9" t="s">
        <v>9</v>
      </c>
      <c r="B9">
        <v>5567181</v>
      </c>
    </row>
    <row r="10" spans="1:9" x14ac:dyDescent="0.45">
      <c r="B10" t="s">
        <v>36</v>
      </c>
      <c r="F10" s="3">
        <v>40305</v>
      </c>
      <c r="G10" s="3">
        <v>40307</v>
      </c>
      <c r="H10" s="4" t="s">
        <v>10</v>
      </c>
    </row>
    <row r="11" spans="1:9" x14ac:dyDescent="0.45">
      <c r="B11" s="5">
        <v>0.46</v>
      </c>
      <c r="C11" s="5"/>
      <c r="E11" t="s">
        <v>11</v>
      </c>
      <c r="F11" s="6">
        <f>COUNTIF(B$11:B$71,"&gt;=0")-COUNTIF(B$11:B$71,"&gt;0.049")</f>
        <v>0</v>
      </c>
      <c r="G11" s="6">
        <f>COUNTIF(C$11:C$114,"&gt;=0")-COUNTIF(C$11:C$114,"&gt;0.049")</f>
        <v>0</v>
      </c>
      <c r="H11" s="6">
        <f>COUNTIF(S$11:S$179,"&gt;=0")-COUNTIF(S$11:S$179,"&gt;0.049")</f>
        <v>0</v>
      </c>
    </row>
    <row r="12" spans="1:9" x14ac:dyDescent="0.45">
      <c r="B12" s="5">
        <v>0.47</v>
      </c>
      <c r="C12" s="5"/>
      <c r="E12" t="s">
        <v>12</v>
      </c>
      <c r="F12" s="6">
        <f>COUNTIF(B$11:B$71,"&gt;=0.050")-COUNTIF(B$11:B$71,"&gt;0.099")</f>
        <v>0</v>
      </c>
      <c r="G12" s="6">
        <f>COUNTIF(C$11:C$114,"&gt;=0.050")-COUNTIF(C$11:C$114,"&gt;0.099")</f>
        <v>0</v>
      </c>
      <c r="H12" s="6">
        <f>COUNTIF(S$11:S$179,"&gt;=0.050")-COUNTIF(S$11:S$179,"&gt;0.099")</f>
        <v>0</v>
      </c>
    </row>
    <row r="13" spans="1:9" x14ac:dyDescent="0.45">
      <c r="B13" s="5">
        <v>0.22</v>
      </c>
    </row>
    <row r="14" spans="1:9" x14ac:dyDescent="0.45">
      <c r="B14" s="5">
        <v>0.36</v>
      </c>
    </row>
    <row r="15" spans="1:9" x14ac:dyDescent="0.45">
      <c r="B15" s="5">
        <v>0.22</v>
      </c>
    </row>
    <row r="16" spans="1:9" x14ac:dyDescent="0.45">
      <c r="B16" s="5">
        <v>0.56000000000000005</v>
      </c>
    </row>
    <row r="17" spans="2:5" x14ac:dyDescent="0.45">
      <c r="B17" s="5">
        <v>0.45</v>
      </c>
    </row>
    <row r="18" spans="2:5" x14ac:dyDescent="0.45">
      <c r="B18" s="5">
        <v>0.57999999999999996</v>
      </c>
    </row>
    <row r="19" spans="2:5" x14ac:dyDescent="0.45">
      <c r="B19" s="5">
        <v>0.37</v>
      </c>
    </row>
    <row r="20" spans="2:5" x14ac:dyDescent="0.45">
      <c r="B20" s="5">
        <v>0.51</v>
      </c>
    </row>
    <row r="21" spans="2:5" x14ac:dyDescent="0.45">
      <c r="B21" s="5">
        <v>0.61</v>
      </c>
    </row>
    <row r="22" spans="2:5" x14ac:dyDescent="0.45">
      <c r="B22" s="5">
        <v>0.46</v>
      </c>
    </row>
    <row r="23" spans="2:5" x14ac:dyDescent="0.45">
      <c r="B23" s="5">
        <v>0.5</v>
      </c>
    </row>
    <row r="24" spans="2:5" x14ac:dyDescent="0.45">
      <c r="B24" s="5">
        <v>0.42</v>
      </c>
    </row>
    <row r="25" spans="2:5" x14ac:dyDescent="0.45">
      <c r="B25" s="5">
        <v>0.46</v>
      </c>
    </row>
    <row r="26" spans="2:5" x14ac:dyDescent="0.45">
      <c r="B26" s="5">
        <v>0.49</v>
      </c>
    </row>
    <row r="27" spans="2:5" x14ac:dyDescent="0.45">
      <c r="B27" s="5">
        <v>0.54</v>
      </c>
    </row>
    <row r="28" spans="2:5" x14ac:dyDescent="0.45">
      <c r="B28" s="5">
        <v>0.68</v>
      </c>
    </row>
    <row r="29" spans="2:5" x14ac:dyDescent="0.45">
      <c r="B29" s="5">
        <v>0.56000000000000005</v>
      </c>
    </row>
    <row r="30" spans="2:5" x14ac:dyDescent="0.45">
      <c r="B30" s="5">
        <v>0.43</v>
      </c>
    </row>
    <row r="31" spans="2:5" x14ac:dyDescent="0.45">
      <c r="B31" t="s">
        <v>35</v>
      </c>
    </row>
    <row r="32" spans="2:5" x14ac:dyDescent="0.45">
      <c r="B32" s="5">
        <v>0.37</v>
      </c>
      <c r="C32" s="5"/>
      <c r="D32" s="5"/>
      <c r="E32" s="5"/>
    </row>
    <row r="33" spans="2:5" x14ac:dyDescent="0.45">
      <c r="B33" s="5">
        <v>0.46</v>
      </c>
      <c r="C33" s="5"/>
      <c r="D33" s="5"/>
      <c r="E33" s="5"/>
    </row>
    <row r="34" spans="2:5" x14ac:dyDescent="0.45">
      <c r="B34" s="5">
        <v>0.35</v>
      </c>
      <c r="C34" s="5"/>
      <c r="D34" s="5"/>
      <c r="E34" s="5"/>
    </row>
    <row r="35" spans="2:5" x14ac:dyDescent="0.45">
      <c r="B35" s="5">
        <v>0.32</v>
      </c>
      <c r="C35" s="5"/>
      <c r="D35" s="5"/>
      <c r="E35" s="5"/>
    </row>
    <row r="36" spans="2:5" x14ac:dyDescent="0.45">
      <c r="B36" s="5">
        <v>0.27</v>
      </c>
      <c r="C36" s="5"/>
      <c r="D36" s="5"/>
      <c r="E36" s="5"/>
    </row>
    <row r="37" spans="2:5" x14ac:dyDescent="0.45">
      <c r="B37" s="5">
        <v>0.34</v>
      </c>
      <c r="C37" s="5"/>
      <c r="D37" s="5"/>
      <c r="E37" s="5"/>
    </row>
    <row r="38" spans="2:5" x14ac:dyDescent="0.45">
      <c r="B38" s="5">
        <v>0.32</v>
      </c>
      <c r="C38" s="5"/>
      <c r="D38" s="5"/>
      <c r="E38" s="5"/>
    </row>
    <row r="39" spans="2:5" x14ac:dyDescent="0.45">
      <c r="B39" s="5">
        <v>0.28000000000000003</v>
      </c>
      <c r="C39" s="5"/>
      <c r="D39" s="5"/>
      <c r="E39" s="5"/>
    </row>
    <row r="40" spans="2:5" x14ac:dyDescent="0.45">
      <c r="B40" s="5">
        <v>0.25</v>
      </c>
      <c r="C40" s="5"/>
      <c r="D40" s="5"/>
      <c r="E40" s="5"/>
    </row>
    <row r="41" spans="2:5" x14ac:dyDescent="0.45">
      <c r="B41" s="5">
        <v>0.25</v>
      </c>
      <c r="C41" s="5"/>
      <c r="D41" s="5"/>
      <c r="E41" s="5"/>
    </row>
    <row r="42" spans="2:5" x14ac:dyDescent="0.45">
      <c r="B42" s="5">
        <v>0.27</v>
      </c>
      <c r="C42" s="5"/>
      <c r="D42" s="5"/>
      <c r="E42" s="5"/>
    </row>
    <row r="43" spans="2:5" x14ac:dyDescent="0.45">
      <c r="B43" s="5">
        <v>0.28999999999999998</v>
      </c>
      <c r="C43" s="5"/>
      <c r="D43" s="5"/>
      <c r="E43" s="5"/>
    </row>
    <row r="44" spans="2:5" x14ac:dyDescent="0.45">
      <c r="B44" s="5">
        <v>0.21</v>
      </c>
      <c r="C44" s="5"/>
      <c r="D44" s="5"/>
      <c r="E44" s="5"/>
    </row>
    <row r="45" spans="2:5" x14ac:dyDescent="0.45">
      <c r="B45" s="5">
        <v>0.19</v>
      </c>
      <c r="C45" s="5"/>
      <c r="D45" s="5"/>
      <c r="E45" s="5"/>
    </row>
    <row r="46" spans="2:5" x14ac:dyDescent="0.45">
      <c r="B46" s="5">
        <v>0.39</v>
      </c>
      <c r="C46" s="5"/>
      <c r="D46" s="5"/>
      <c r="E46" s="5"/>
    </row>
    <row r="47" spans="2:5" x14ac:dyDescent="0.45">
      <c r="B47" s="5">
        <v>0.26</v>
      </c>
      <c r="C47" s="5"/>
      <c r="D47" s="5"/>
      <c r="E47" s="5"/>
    </row>
    <row r="48" spans="2:5" x14ac:dyDescent="0.45">
      <c r="B48" s="5">
        <v>0.28999999999999998</v>
      </c>
      <c r="C48" s="5"/>
      <c r="D48" s="5"/>
      <c r="E48" s="5"/>
    </row>
    <row r="49" spans="1:5" x14ac:dyDescent="0.45">
      <c r="B49" s="5">
        <v>0.25</v>
      </c>
      <c r="C49" s="5"/>
      <c r="D49" s="5"/>
      <c r="E49" s="5"/>
    </row>
    <row r="50" spans="1:5" x14ac:dyDescent="0.45">
      <c r="B50" s="5">
        <v>0.28999999999999998</v>
      </c>
      <c r="C50" s="5"/>
      <c r="D50" s="5"/>
      <c r="E50" s="5"/>
    </row>
    <row r="51" spans="1:5" x14ac:dyDescent="0.45">
      <c r="B51" s="5">
        <v>0.24</v>
      </c>
      <c r="C51" s="5"/>
      <c r="D51" s="5"/>
      <c r="E51" s="5"/>
    </row>
    <row r="52" spans="1:5" x14ac:dyDescent="0.45">
      <c r="B52" s="5"/>
      <c r="C52" s="5"/>
      <c r="D52" s="5"/>
      <c r="E52" s="5"/>
    </row>
    <row r="53" spans="1:5" x14ac:dyDescent="0.45">
      <c r="A53" t="s">
        <v>22</v>
      </c>
      <c r="B53" s="5">
        <f>SUM(B$11:B$51)/40</f>
        <v>0.38099999999999995</v>
      </c>
      <c r="C53" s="5"/>
      <c r="D53" s="5"/>
      <c r="E53" s="5"/>
    </row>
    <row r="54" spans="1:5" x14ac:dyDescent="0.45">
      <c r="A54" t="s">
        <v>23</v>
      </c>
      <c r="B54" s="5">
        <f>MEDIAN(B$11:B$51)</f>
        <v>0.36499999999999999</v>
      </c>
      <c r="C54" s="5"/>
      <c r="D54" s="5"/>
      <c r="E54" s="5"/>
    </row>
    <row r="55" spans="1:5" x14ac:dyDescent="0.45">
      <c r="A55" t="s">
        <v>25</v>
      </c>
      <c r="B55" s="5">
        <f>SMALL(B$11:B$51,1)</f>
        <v>0.19</v>
      </c>
      <c r="C55" s="5"/>
      <c r="D55" s="5"/>
      <c r="E55" s="5"/>
    </row>
    <row r="56" spans="1:5" x14ac:dyDescent="0.45">
      <c r="A56" t="s">
        <v>24</v>
      </c>
      <c r="B56" s="5">
        <f>SMALL(B$11:B$51,40)</f>
        <v>0.68</v>
      </c>
      <c r="C56" s="5"/>
      <c r="D56" s="5"/>
      <c r="E56" s="5"/>
    </row>
    <row r="57" spans="1:5" x14ac:dyDescent="0.45">
      <c r="A57" t="s">
        <v>52</v>
      </c>
      <c r="B57" s="16">
        <v>40</v>
      </c>
      <c r="C57" s="5"/>
      <c r="D57" s="5"/>
      <c r="E57" s="5"/>
    </row>
    <row r="58" spans="1:5" x14ac:dyDescent="0.45">
      <c r="A58" s="14" t="s">
        <v>37</v>
      </c>
      <c r="B58" s="5"/>
      <c r="C58" s="5"/>
      <c r="D58" s="5"/>
      <c r="E58" s="5"/>
    </row>
    <row r="59" spans="1:5" x14ac:dyDescent="0.45">
      <c r="A59" s="14" t="s">
        <v>22</v>
      </c>
      <c r="B59" s="5">
        <f>SUM(B$11:B$30)/20</f>
        <v>0.46750000000000008</v>
      </c>
      <c r="C59" s="5"/>
      <c r="D59" s="5"/>
      <c r="E59" s="5"/>
    </row>
    <row r="60" spans="1:5" x14ac:dyDescent="0.45">
      <c r="A60" s="14" t="s">
        <v>23</v>
      </c>
      <c r="B60" s="5">
        <f>MEDIAN(B$11:B$30)</f>
        <v>0.46499999999999997</v>
      </c>
      <c r="C60" s="5"/>
      <c r="D60" s="5"/>
      <c r="E60" s="5"/>
    </row>
    <row r="61" spans="1:5" x14ac:dyDescent="0.45">
      <c r="A61" s="14" t="s">
        <v>25</v>
      </c>
      <c r="B61" s="5">
        <f>SMALL(B$11:B$30,1)</f>
        <v>0.22</v>
      </c>
      <c r="C61" s="5"/>
      <c r="D61" s="5"/>
      <c r="E61" s="5"/>
    </row>
    <row r="62" spans="1:5" x14ac:dyDescent="0.45">
      <c r="A62" s="14" t="s">
        <v>24</v>
      </c>
      <c r="B62" s="5">
        <f>SMALL(B$11:B$30,20)</f>
        <v>0.68</v>
      </c>
      <c r="C62" s="5"/>
      <c r="D62" s="5"/>
      <c r="E62" s="5"/>
    </row>
    <row r="63" spans="1:5" x14ac:dyDescent="0.45">
      <c r="A63" s="14" t="s">
        <v>52</v>
      </c>
      <c r="B63" s="16">
        <v>20</v>
      </c>
      <c r="C63" s="5"/>
      <c r="D63" s="5"/>
      <c r="E63" s="5"/>
    </row>
    <row r="64" spans="1:5" x14ac:dyDescent="0.45">
      <c r="A64" s="13" t="s">
        <v>38</v>
      </c>
      <c r="B64" s="5"/>
      <c r="C64" s="5"/>
      <c r="D64" s="5"/>
      <c r="E64" s="5"/>
    </row>
    <row r="65" spans="1:5" x14ac:dyDescent="0.45">
      <c r="A65" s="13" t="s">
        <v>22</v>
      </c>
      <c r="B65" s="5">
        <f>SUM(B$32:B$51)/20</f>
        <v>0.29449999999999998</v>
      </c>
      <c r="C65" s="5"/>
      <c r="D65" s="5"/>
      <c r="E65" s="5"/>
    </row>
    <row r="66" spans="1:5" x14ac:dyDescent="0.45">
      <c r="A66" s="13" t="s">
        <v>23</v>
      </c>
      <c r="B66" s="5">
        <f>MEDIAN(B$32:B$51)</f>
        <v>0.28500000000000003</v>
      </c>
      <c r="C66" s="5"/>
      <c r="D66" s="5"/>
      <c r="E66" s="5"/>
    </row>
    <row r="67" spans="1:5" x14ac:dyDescent="0.45">
      <c r="A67" s="13" t="s">
        <v>25</v>
      </c>
      <c r="B67" s="5">
        <f>SMALL(B$32:B$51,1)</f>
        <v>0.19</v>
      </c>
      <c r="C67" s="5"/>
      <c r="D67" s="5"/>
      <c r="E67" s="5"/>
    </row>
    <row r="68" spans="1:5" x14ac:dyDescent="0.45">
      <c r="A68" s="13" t="s">
        <v>24</v>
      </c>
      <c r="B68" s="5">
        <f>SMALL(B$32:B$51,20)</f>
        <v>0.46</v>
      </c>
      <c r="C68" s="5"/>
      <c r="D68" s="5"/>
      <c r="E68" s="5"/>
    </row>
    <row r="69" spans="1:5" x14ac:dyDescent="0.45">
      <c r="A69" s="13" t="s">
        <v>52</v>
      </c>
      <c r="B69" s="16">
        <v>20</v>
      </c>
      <c r="C69" s="5"/>
      <c r="D69" s="5"/>
      <c r="E69" s="5"/>
    </row>
    <row r="70" spans="1:5" x14ac:dyDescent="0.45">
      <c r="B70" s="5"/>
      <c r="C70" s="5"/>
      <c r="D70" s="5"/>
      <c r="E70" s="5"/>
    </row>
    <row r="71" spans="1:5" x14ac:dyDescent="0.45">
      <c r="B71" s="5"/>
      <c r="C71" s="5"/>
      <c r="D71" s="5"/>
      <c r="E71" s="5"/>
    </row>
    <row r="72" spans="1:5" x14ac:dyDescent="0.45">
      <c r="B72" s="5"/>
      <c r="C72" s="5"/>
      <c r="D72" s="5"/>
      <c r="E72" s="5"/>
    </row>
    <row r="73" spans="1:5" x14ac:dyDescent="0.45">
      <c r="B73" s="5"/>
      <c r="C73" s="5"/>
      <c r="D73" s="5"/>
      <c r="E73" s="5"/>
    </row>
    <row r="74" spans="1:5" x14ac:dyDescent="0.45">
      <c r="B74" s="5"/>
      <c r="C74" s="5"/>
      <c r="D74" s="5"/>
      <c r="E74" s="5"/>
    </row>
    <row r="75" spans="1:5" x14ac:dyDescent="0.45">
      <c r="B75" s="5"/>
      <c r="C75" s="5"/>
      <c r="D75" s="5"/>
      <c r="E75" s="5"/>
    </row>
    <row r="76" spans="1:5" x14ac:dyDescent="0.45">
      <c r="B76" s="5"/>
      <c r="C76" s="5"/>
      <c r="D76" s="5"/>
      <c r="E76" s="5"/>
    </row>
    <row r="77" spans="1:5" x14ac:dyDescent="0.45">
      <c r="B77" s="5"/>
      <c r="C77" s="5"/>
      <c r="D77" s="5"/>
      <c r="E77" s="5"/>
    </row>
    <row r="78" spans="1:5" x14ac:dyDescent="0.45">
      <c r="B78" s="5"/>
      <c r="C78" s="5"/>
      <c r="D78" s="5"/>
      <c r="E78" s="5"/>
    </row>
    <row r="79" spans="1:5" x14ac:dyDescent="0.45">
      <c r="B79" s="5"/>
      <c r="C79" s="5"/>
      <c r="D79" s="5"/>
      <c r="E79" s="5"/>
    </row>
    <row r="80" spans="1:5" x14ac:dyDescent="0.45">
      <c r="B80" s="5"/>
      <c r="C80" s="5"/>
      <c r="D80" s="5"/>
      <c r="E80" s="5"/>
    </row>
    <row r="81" spans="2:5" x14ac:dyDescent="0.45">
      <c r="B81" s="5"/>
      <c r="C81" s="5"/>
      <c r="D81" s="5"/>
      <c r="E81" s="5"/>
    </row>
    <row r="82" spans="2:5" x14ac:dyDescent="0.45">
      <c r="B82" s="5"/>
      <c r="C82" s="5"/>
      <c r="D82" s="5"/>
      <c r="E82" s="5"/>
    </row>
    <row r="83" spans="2:5" x14ac:dyDescent="0.45">
      <c r="B83" s="5"/>
      <c r="C83" s="5"/>
      <c r="D83" s="5"/>
      <c r="E83" s="5"/>
    </row>
    <row r="84" spans="2:5" x14ac:dyDescent="0.45">
      <c r="B84" s="5"/>
      <c r="C84" s="5"/>
      <c r="D84" s="5"/>
      <c r="E84" s="5"/>
    </row>
    <row r="85" spans="2:5" x14ac:dyDescent="0.45">
      <c r="B85" s="5"/>
      <c r="C85" s="5"/>
      <c r="D85" s="5"/>
      <c r="E85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B46" sqref="B46"/>
    </sheetView>
  </sheetViews>
  <sheetFormatPr defaultRowHeight="14.25" x14ac:dyDescent="0.45"/>
  <cols>
    <col min="1" max="1" width="10.19921875" customWidth="1"/>
    <col min="2" max="2" width="13.86328125" customWidth="1"/>
    <col min="3" max="3" width="15.1328125" customWidth="1"/>
  </cols>
  <sheetData>
    <row r="1" spans="1:8" ht="18" x14ac:dyDescent="0.55000000000000004">
      <c r="A1" s="7" t="s">
        <v>13</v>
      </c>
      <c r="B1" s="8"/>
      <c r="C1" s="8"/>
      <c r="D1" s="8"/>
      <c r="E1" s="8"/>
      <c r="F1" s="9"/>
      <c r="G1" s="8"/>
      <c r="H1" s="8"/>
    </row>
    <row r="2" spans="1:8" x14ac:dyDescent="0.45">
      <c r="A2" t="s">
        <v>0</v>
      </c>
    </row>
    <row r="3" spans="1:8" x14ac:dyDescent="0.45">
      <c r="A3" t="s">
        <v>1</v>
      </c>
      <c r="B3" s="11">
        <v>40582</v>
      </c>
      <c r="C3" s="11"/>
      <c r="D3" s="12"/>
      <c r="E3" s="12"/>
      <c r="F3" s="12"/>
      <c r="G3" s="2"/>
      <c r="H3" s="2"/>
    </row>
    <row r="4" spans="1:8" x14ac:dyDescent="0.45">
      <c r="A4" t="s">
        <v>2</v>
      </c>
      <c r="B4" t="s">
        <v>49</v>
      </c>
      <c r="D4" t="s">
        <v>50</v>
      </c>
      <c r="F4" t="s">
        <v>54</v>
      </c>
    </row>
    <row r="5" spans="1:8" x14ac:dyDescent="0.45">
      <c r="B5" t="s">
        <v>39</v>
      </c>
      <c r="C5" t="s">
        <v>46</v>
      </c>
    </row>
    <row r="6" spans="1:8" x14ac:dyDescent="0.45">
      <c r="A6" t="s">
        <v>3</v>
      </c>
      <c r="B6" t="s">
        <v>4</v>
      </c>
      <c r="C6" t="s">
        <v>5</v>
      </c>
      <c r="D6" s="14" t="s">
        <v>6</v>
      </c>
      <c r="E6" t="s">
        <v>7</v>
      </c>
    </row>
    <row r="7" spans="1:8" x14ac:dyDescent="0.45">
      <c r="B7" t="s">
        <v>32</v>
      </c>
    </row>
    <row r="8" spans="1:8" x14ac:dyDescent="0.45">
      <c r="A8" t="s">
        <v>8</v>
      </c>
      <c r="B8">
        <v>253818</v>
      </c>
      <c r="C8">
        <v>253913</v>
      </c>
      <c r="D8">
        <v>253926</v>
      </c>
    </row>
    <row r="9" spans="1:8" x14ac:dyDescent="0.45">
      <c r="A9" t="s">
        <v>9</v>
      </c>
      <c r="B9">
        <v>5566982</v>
      </c>
      <c r="C9">
        <v>5566822</v>
      </c>
      <c r="D9">
        <v>5566478</v>
      </c>
    </row>
    <row r="10" spans="1:8" x14ac:dyDescent="0.45">
      <c r="B10" t="s">
        <v>40</v>
      </c>
      <c r="C10" t="s">
        <v>47</v>
      </c>
      <c r="D10" s="4" t="s">
        <v>53</v>
      </c>
      <c r="F10" s="3">
        <v>40305</v>
      </c>
      <c r="G10" s="3">
        <v>40307</v>
      </c>
      <c r="H10" s="4" t="s">
        <v>10</v>
      </c>
    </row>
    <row r="11" spans="1:8" x14ac:dyDescent="0.45">
      <c r="B11" s="5">
        <v>0.53</v>
      </c>
      <c r="C11" s="5">
        <v>0.41</v>
      </c>
      <c r="D11" s="5">
        <v>2.37</v>
      </c>
      <c r="E11" t="s">
        <v>11</v>
      </c>
      <c r="F11" s="6">
        <f>COUNTIF(B$11:B$71,"&gt;=0")-COUNTIF(B$11:B$71,"&gt;0.049")</f>
        <v>0</v>
      </c>
      <c r="G11" s="6">
        <f>COUNTIF(C$11:C$114,"&gt;=0")-COUNTIF(C$11:C$114,"&gt;0.049")</f>
        <v>0</v>
      </c>
      <c r="H11" s="6">
        <f>COUNTIF(S$11:S$179,"&gt;=0")-COUNTIF(S$11:S$179,"&gt;0.049")</f>
        <v>0</v>
      </c>
    </row>
    <row r="12" spans="1:8" x14ac:dyDescent="0.45">
      <c r="B12" s="5">
        <v>0.62</v>
      </c>
      <c r="C12" s="5">
        <v>0.35</v>
      </c>
      <c r="D12" s="5">
        <v>0.47</v>
      </c>
      <c r="E12" t="s">
        <v>12</v>
      </c>
      <c r="F12" s="6">
        <f>COUNTIF(B$11:B$71,"&gt;=0.050")-COUNTIF(B$11:B$71,"&gt;0.099")</f>
        <v>0</v>
      </c>
      <c r="G12" s="6">
        <f>COUNTIF(C$11:C$114,"&gt;=0.050")-COUNTIF(C$11:C$114,"&gt;0.099")</f>
        <v>0</v>
      </c>
      <c r="H12" s="6">
        <f>COUNTIF(S$11:S$179,"&gt;=0.050")-COUNTIF(S$11:S$179,"&gt;0.099")</f>
        <v>0</v>
      </c>
    </row>
    <row r="13" spans="1:8" x14ac:dyDescent="0.45">
      <c r="B13" s="5">
        <v>0.53</v>
      </c>
      <c r="C13">
        <v>0.5</v>
      </c>
      <c r="D13" s="5">
        <v>4.43</v>
      </c>
    </row>
    <row r="14" spans="1:8" x14ac:dyDescent="0.45">
      <c r="B14" s="5">
        <v>0.44</v>
      </c>
      <c r="C14">
        <v>0.56999999999999995</v>
      </c>
      <c r="D14" s="5">
        <v>0.91</v>
      </c>
    </row>
    <row r="15" spans="1:8" x14ac:dyDescent="0.45">
      <c r="B15" s="5">
        <v>0.54</v>
      </c>
      <c r="C15">
        <v>0.53</v>
      </c>
      <c r="D15" s="5">
        <v>1.17</v>
      </c>
    </row>
    <row r="16" spans="1:8" x14ac:dyDescent="0.45">
      <c r="B16" s="5">
        <v>0.54</v>
      </c>
      <c r="C16">
        <v>0.61</v>
      </c>
      <c r="D16" s="5">
        <v>0.28999999999999998</v>
      </c>
    </row>
    <row r="17" spans="1:4" x14ac:dyDescent="0.45">
      <c r="B17" s="5">
        <v>0.49</v>
      </c>
      <c r="C17">
        <v>0.33</v>
      </c>
      <c r="D17" s="5">
        <v>0.43</v>
      </c>
    </row>
    <row r="18" spans="1:4" x14ac:dyDescent="0.45">
      <c r="B18" s="5">
        <v>0.55000000000000004</v>
      </c>
      <c r="C18">
        <v>0.49</v>
      </c>
      <c r="D18" s="5">
        <v>0.4</v>
      </c>
    </row>
    <row r="19" spans="1:4" x14ac:dyDescent="0.45">
      <c r="B19" s="5">
        <v>0.38</v>
      </c>
      <c r="C19">
        <v>0.41</v>
      </c>
      <c r="D19" s="5">
        <v>0.38</v>
      </c>
    </row>
    <row r="20" spans="1:4" x14ac:dyDescent="0.45">
      <c r="B20" s="5">
        <v>0.46</v>
      </c>
      <c r="C20">
        <v>0.42</v>
      </c>
      <c r="D20" s="5">
        <v>0.62</v>
      </c>
    </row>
    <row r="21" spans="1:4" x14ac:dyDescent="0.45">
      <c r="B21" s="5">
        <v>0.59</v>
      </c>
      <c r="C21">
        <v>0.44</v>
      </c>
      <c r="D21" s="5">
        <v>0.4</v>
      </c>
    </row>
    <row r="22" spans="1:4" x14ac:dyDescent="0.45">
      <c r="B22" s="5">
        <v>0.39</v>
      </c>
      <c r="C22">
        <v>0.41</v>
      </c>
    </row>
    <row r="23" spans="1:4" x14ac:dyDescent="0.45">
      <c r="B23" s="5">
        <v>0.39</v>
      </c>
      <c r="C23">
        <v>0.57999999999999996</v>
      </c>
    </row>
    <row r="24" spans="1:4" x14ac:dyDescent="0.45">
      <c r="A24" s="4" t="s">
        <v>42</v>
      </c>
      <c r="B24" s="5">
        <v>0.48</v>
      </c>
      <c r="C24">
        <v>0.45</v>
      </c>
    </row>
    <row r="25" spans="1:4" x14ac:dyDescent="0.45">
      <c r="A25" s="4" t="s">
        <v>41</v>
      </c>
      <c r="B25" s="5">
        <v>0.59</v>
      </c>
      <c r="C25">
        <v>0.41</v>
      </c>
    </row>
    <row r="26" spans="1:4" x14ac:dyDescent="0.45">
      <c r="B26" s="5">
        <v>0.56999999999999995</v>
      </c>
      <c r="C26">
        <v>0.48</v>
      </c>
    </row>
    <row r="27" spans="1:4" x14ac:dyDescent="0.45">
      <c r="B27" s="5">
        <v>0.45</v>
      </c>
      <c r="C27">
        <v>0.36</v>
      </c>
    </row>
    <row r="28" spans="1:4" x14ac:dyDescent="0.45">
      <c r="B28" s="5">
        <v>0.62</v>
      </c>
      <c r="C28">
        <v>0.39</v>
      </c>
    </row>
    <row r="29" spans="1:4" x14ac:dyDescent="0.45">
      <c r="B29" s="5">
        <v>0.41</v>
      </c>
      <c r="C29">
        <v>0.56999999999999995</v>
      </c>
    </row>
    <row r="30" spans="1:4" x14ac:dyDescent="0.45">
      <c r="B30" s="5">
        <v>0.45</v>
      </c>
      <c r="C30">
        <v>0.43</v>
      </c>
    </row>
    <row r="31" spans="1:4" x14ac:dyDescent="0.45">
      <c r="B31" s="5">
        <v>0.56999999999999995</v>
      </c>
      <c r="C31">
        <v>0.38</v>
      </c>
    </row>
    <row r="32" spans="1:4" x14ac:dyDescent="0.45">
      <c r="B32" s="5">
        <v>0.88</v>
      </c>
      <c r="C32">
        <v>0.54</v>
      </c>
    </row>
    <row r="33" spans="1:8" x14ac:dyDescent="0.45">
      <c r="B33" s="5">
        <v>0.28999999999999998</v>
      </c>
      <c r="C33">
        <v>0.61</v>
      </c>
    </row>
    <row r="34" spans="1:8" x14ac:dyDescent="0.45">
      <c r="B34" s="5">
        <v>1.46</v>
      </c>
      <c r="C34">
        <v>0.41</v>
      </c>
    </row>
    <row r="35" spans="1:8" x14ac:dyDescent="0.45">
      <c r="B35" s="5">
        <v>0.53</v>
      </c>
      <c r="C35">
        <v>0.39</v>
      </c>
    </row>
    <row r="36" spans="1:8" x14ac:dyDescent="0.45">
      <c r="B36" s="5">
        <v>0.47</v>
      </c>
      <c r="C36">
        <v>0.55000000000000004</v>
      </c>
    </row>
    <row r="37" spans="1:8" x14ac:dyDescent="0.45">
      <c r="C37">
        <v>0.33</v>
      </c>
    </row>
    <row r="38" spans="1:8" x14ac:dyDescent="0.45">
      <c r="C38" s="5">
        <v>0.53</v>
      </c>
      <c r="D38" s="5"/>
      <c r="E38" s="5"/>
      <c r="F38" s="5"/>
      <c r="G38" s="5"/>
      <c r="H38" s="5"/>
    </row>
    <row r="39" spans="1:8" x14ac:dyDescent="0.45">
      <c r="C39" s="5"/>
      <c r="D39" s="5"/>
      <c r="E39" s="5"/>
      <c r="F39" s="5"/>
      <c r="G39" s="5"/>
      <c r="H39" s="5"/>
    </row>
    <row r="40" spans="1:8" x14ac:dyDescent="0.45">
      <c r="A40" t="s">
        <v>22</v>
      </c>
      <c r="B40" s="5">
        <f>SUM(B$11:B$36)/25</f>
        <v>0.56879999999999997</v>
      </c>
      <c r="C40" s="5">
        <f>SUM(C$11:C$38)/27</f>
        <v>0.47703703703703715</v>
      </c>
      <c r="D40" s="5">
        <f>SUM(D$11:D$21)/11</f>
        <v>1.0790909090909091</v>
      </c>
      <c r="E40" s="5"/>
      <c r="F40" s="5"/>
      <c r="G40" s="5"/>
      <c r="H40" s="5"/>
    </row>
    <row r="41" spans="1:8" x14ac:dyDescent="0.45">
      <c r="A41" t="s">
        <v>23</v>
      </c>
      <c r="B41" s="5">
        <f>MEDIAN(B$11:B$36)</f>
        <v>0.53</v>
      </c>
      <c r="C41" s="5">
        <f>MEDIAN(C$11:C$38)</f>
        <v>0.435</v>
      </c>
      <c r="D41" s="5">
        <f>MEDIAN(D$11:D$21)</f>
        <v>0.47</v>
      </c>
      <c r="E41" s="5"/>
      <c r="F41" s="5"/>
      <c r="G41" s="5"/>
      <c r="H41" s="5"/>
    </row>
    <row r="42" spans="1:8" x14ac:dyDescent="0.45">
      <c r="A42" t="s">
        <v>25</v>
      </c>
      <c r="B42" s="5">
        <f>SMALL(B$11:B$36,1)</f>
        <v>0.28999999999999998</v>
      </c>
      <c r="C42" s="5">
        <f>SMALL(C$11:C$38,1)</f>
        <v>0.33</v>
      </c>
      <c r="D42" s="5">
        <f>SMALL(D$11:D$21,1)</f>
        <v>0.28999999999999998</v>
      </c>
      <c r="E42" s="5"/>
      <c r="F42" s="5"/>
      <c r="G42" s="5"/>
      <c r="H42" s="5"/>
    </row>
    <row r="43" spans="1:8" x14ac:dyDescent="0.45">
      <c r="A43" t="s">
        <v>44</v>
      </c>
      <c r="B43" s="5">
        <f>SMALL(B$11:B$36,25)</f>
        <v>0.88</v>
      </c>
      <c r="C43" s="5">
        <f>SMALL(C$11:C$38,27)</f>
        <v>0.61</v>
      </c>
      <c r="D43" s="5">
        <f>SMALL(D$11:D$21,11)</f>
        <v>4.43</v>
      </c>
      <c r="E43" s="5"/>
      <c r="F43" s="5"/>
      <c r="G43" s="5"/>
      <c r="H43" s="5"/>
    </row>
    <row r="44" spans="1:8" x14ac:dyDescent="0.45">
      <c r="A44" t="s">
        <v>52</v>
      </c>
      <c r="B44" s="16">
        <v>26</v>
      </c>
      <c r="C44" s="16">
        <v>28</v>
      </c>
      <c r="D44" s="16">
        <v>11</v>
      </c>
      <c r="E44" s="5"/>
      <c r="F44" s="5"/>
      <c r="G44" s="5"/>
      <c r="H44" s="5"/>
    </row>
    <row r="45" spans="1:8" x14ac:dyDescent="0.45">
      <c r="B45" s="5"/>
      <c r="C45" s="5"/>
      <c r="D45" s="5"/>
      <c r="E45" s="5"/>
      <c r="F45" s="5"/>
      <c r="G45" s="5"/>
      <c r="H45" s="5"/>
    </row>
    <row r="46" spans="1:8" x14ac:dyDescent="0.45">
      <c r="B46" s="5"/>
      <c r="C46" s="5"/>
      <c r="D46" s="5"/>
      <c r="E46" s="5"/>
      <c r="F46" s="5"/>
      <c r="G46" s="5"/>
      <c r="H46" s="5"/>
    </row>
    <row r="47" spans="1:8" x14ac:dyDescent="0.45">
      <c r="B47" s="5"/>
      <c r="C47" s="5"/>
      <c r="D47" s="5"/>
      <c r="E47" s="5"/>
      <c r="F47" s="5"/>
      <c r="G47" s="5"/>
      <c r="H47" s="5"/>
    </row>
    <row r="48" spans="1:8" x14ac:dyDescent="0.45">
      <c r="B48" s="5"/>
      <c r="C48" s="5"/>
      <c r="D48" s="5"/>
      <c r="E48" s="5"/>
      <c r="F48" s="5"/>
      <c r="G48" s="5"/>
      <c r="H48" s="5"/>
    </row>
    <row r="49" spans="2:8" x14ac:dyDescent="0.45">
      <c r="B49" s="5"/>
      <c r="C49" s="5"/>
      <c r="D49" s="5"/>
      <c r="E49" s="5"/>
      <c r="F49" s="5"/>
      <c r="G49" s="5"/>
      <c r="H49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7" workbookViewId="0">
      <selection activeCell="J16" sqref="J16"/>
    </sheetView>
  </sheetViews>
  <sheetFormatPr defaultRowHeight="14.25" x14ac:dyDescent="0.45"/>
  <cols>
    <col min="1" max="1" width="10.46484375" customWidth="1"/>
    <col min="2" max="2" width="11.796875" customWidth="1"/>
    <col min="3" max="3" width="8.796875" customWidth="1"/>
    <col min="4" max="5" width="14.19921875" customWidth="1"/>
    <col min="6" max="10" width="17.19921875" customWidth="1"/>
    <col min="11" max="11" width="8.33203125" customWidth="1"/>
    <col min="12" max="12" width="9.46484375" customWidth="1"/>
  </cols>
  <sheetData>
    <row r="1" spans="1:15" ht="18" x14ac:dyDescent="0.55000000000000004">
      <c r="A1" s="7" t="s">
        <v>13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9"/>
      <c r="N1" s="8"/>
      <c r="O1" s="8"/>
    </row>
    <row r="2" spans="1:15" x14ac:dyDescent="0.45">
      <c r="A2" t="s">
        <v>0</v>
      </c>
    </row>
    <row r="3" spans="1:15" x14ac:dyDescent="0.45">
      <c r="A3" t="s">
        <v>1</v>
      </c>
      <c r="B3" s="11">
        <v>40583</v>
      </c>
      <c r="C3" s="11"/>
      <c r="D3" s="11">
        <v>40584</v>
      </c>
      <c r="E3" s="11">
        <v>40584</v>
      </c>
      <c r="F3" s="11">
        <v>40584</v>
      </c>
      <c r="G3" s="11">
        <v>40584</v>
      </c>
      <c r="H3" s="11" t="s">
        <v>138</v>
      </c>
      <c r="I3" s="11">
        <v>40668</v>
      </c>
      <c r="J3" s="11">
        <v>40668</v>
      </c>
      <c r="K3" s="12"/>
      <c r="L3" s="12"/>
      <c r="M3" s="12"/>
      <c r="N3" s="2"/>
      <c r="O3" s="2"/>
    </row>
    <row r="4" spans="1:15" x14ac:dyDescent="0.45">
      <c r="A4" t="s">
        <v>2</v>
      </c>
      <c r="B4">
        <v>2</v>
      </c>
      <c r="D4">
        <v>2</v>
      </c>
      <c r="E4">
        <v>5</v>
      </c>
      <c r="F4">
        <v>6</v>
      </c>
      <c r="G4">
        <v>6</v>
      </c>
      <c r="H4" t="s">
        <v>139</v>
      </c>
    </row>
    <row r="5" spans="1:15" x14ac:dyDescent="0.45">
      <c r="F5" t="s">
        <v>123</v>
      </c>
      <c r="G5" t="s">
        <v>124</v>
      </c>
    </row>
    <row r="6" spans="1:15" x14ac:dyDescent="0.45">
      <c r="A6" t="s">
        <v>3</v>
      </c>
      <c r="B6" t="s">
        <v>4</v>
      </c>
      <c r="D6" t="s">
        <v>5</v>
      </c>
      <c r="E6" s="10" t="s">
        <v>14</v>
      </c>
      <c r="F6" t="s">
        <v>7</v>
      </c>
      <c r="G6" s="40" t="s">
        <v>80</v>
      </c>
      <c r="H6" s="40"/>
      <c r="I6" s="40"/>
      <c r="J6" s="40"/>
    </row>
    <row r="7" spans="1:15" ht="15.75" x14ac:dyDescent="0.45">
      <c r="G7" s="17" t="s">
        <v>125</v>
      </c>
      <c r="H7" s="17"/>
      <c r="I7" s="17"/>
      <c r="J7" s="17"/>
    </row>
    <row r="8" spans="1:15" x14ac:dyDescent="0.45">
      <c r="A8" t="s">
        <v>8</v>
      </c>
      <c r="B8">
        <v>746412</v>
      </c>
      <c r="D8">
        <v>753567</v>
      </c>
      <c r="E8">
        <v>753710</v>
      </c>
      <c r="F8">
        <v>756094</v>
      </c>
      <c r="G8">
        <v>756094</v>
      </c>
      <c r="I8">
        <v>743108</v>
      </c>
      <c r="J8">
        <v>744289</v>
      </c>
      <c r="L8" t="s">
        <v>137</v>
      </c>
    </row>
    <row r="9" spans="1:15" x14ac:dyDescent="0.45">
      <c r="A9" t="s">
        <v>9</v>
      </c>
      <c r="B9">
        <v>5569053</v>
      </c>
      <c r="D9">
        <v>5614512</v>
      </c>
      <c r="E9">
        <v>5614352</v>
      </c>
      <c r="F9">
        <v>5612455</v>
      </c>
      <c r="G9">
        <v>5612455</v>
      </c>
      <c r="I9">
        <v>5576730</v>
      </c>
      <c r="J9">
        <v>5584982</v>
      </c>
    </row>
    <row r="10" spans="1:15" x14ac:dyDescent="0.45">
      <c r="B10" t="s">
        <v>69</v>
      </c>
      <c r="D10" t="s">
        <v>73</v>
      </c>
      <c r="E10" t="s">
        <v>73</v>
      </c>
      <c r="F10" t="s">
        <v>79</v>
      </c>
      <c r="G10" t="s">
        <v>79</v>
      </c>
      <c r="I10" t="s">
        <v>207</v>
      </c>
      <c r="J10" t="s">
        <v>208</v>
      </c>
      <c r="M10" s="3"/>
      <c r="N10" s="3"/>
      <c r="O10" s="4"/>
    </row>
    <row r="11" spans="1:15" x14ac:dyDescent="0.45">
      <c r="B11">
        <v>0.18</v>
      </c>
      <c r="D11">
        <v>0.13</v>
      </c>
      <c r="E11" s="5">
        <v>0.05</v>
      </c>
      <c r="F11" s="5">
        <v>0.08</v>
      </c>
      <c r="G11" s="5">
        <v>0.2</v>
      </c>
      <c r="H11" s="5"/>
      <c r="I11" s="5">
        <v>0.2</v>
      </c>
      <c r="J11" s="5">
        <v>0.04</v>
      </c>
      <c r="K11" s="5"/>
      <c r="L11" t="s">
        <v>126</v>
      </c>
      <c r="M11" s="6">
        <f>COUNTIF(D$11:G$25,"&gt;=0.0")-COUNTIF(D$11:G$25,"&gt;0.01999")</f>
        <v>0</v>
      </c>
      <c r="N11" s="43"/>
      <c r="O11" s="43"/>
    </row>
    <row r="12" spans="1:15" x14ac:dyDescent="0.45">
      <c r="B12">
        <v>0.17</v>
      </c>
      <c r="D12">
        <v>0.09</v>
      </c>
      <c r="E12" s="5">
        <v>0.04</v>
      </c>
      <c r="F12" s="5">
        <v>0.09</v>
      </c>
      <c r="G12" s="5">
        <v>0.17</v>
      </c>
      <c r="H12" s="5"/>
      <c r="I12" s="5">
        <v>0.15</v>
      </c>
      <c r="J12" s="5">
        <v>0.11</v>
      </c>
      <c r="K12" s="5"/>
      <c r="L12" t="s">
        <v>127</v>
      </c>
      <c r="M12" s="6">
        <f>COUNTIF(D$11:G$25,"&gt;=0.02")-COUNTIF(D$11:G$25,"&gt;0.03999")</f>
        <v>6</v>
      </c>
      <c r="N12" s="43"/>
      <c r="O12" s="43"/>
    </row>
    <row r="13" spans="1:15" x14ac:dyDescent="0.45">
      <c r="B13">
        <v>0.24</v>
      </c>
      <c r="D13">
        <v>0.12</v>
      </c>
      <c r="E13" s="5">
        <v>0.02</v>
      </c>
      <c r="F13" s="5">
        <v>0.03</v>
      </c>
      <c r="G13" s="5">
        <v>0.15</v>
      </c>
      <c r="H13" s="5"/>
      <c r="I13" s="5">
        <v>0.13</v>
      </c>
      <c r="J13" s="5">
        <v>0.15</v>
      </c>
      <c r="K13" s="5"/>
      <c r="L13" t="s">
        <v>128</v>
      </c>
      <c r="M13" s="6">
        <f>COUNTIF(D$11:G$25,"&gt;=0.04")-COUNTIF(D$11:G$25,"&gt;0.05999")</f>
        <v>9</v>
      </c>
    </row>
    <row r="14" spans="1:15" x14ac:dyDescent="0.45">
      <c r="B14">
        <v>0.19</v>
      </c>
      <c r="D14">
        <v>0.08</v>
      </c>
      <c r="E14" s="5">
        <v>0.04</v>
      </c>
      <c r="F14" s="5">
        <v>0.04</v>
      </c>
      <c r="G14" s="5">
        <v>0.16</v>
      </c>
      <c r="H14" s="5"/>
      <c r="I14" s="5">
        <v>0.16</v>
      </c>
      <c r="J14" s="5">
        <v>0.15</v>
      </c>
      <c r="K14" s="5"/>
      <c r="L14" t="s">
        <v>129</v>
      </c>
      <c r="M14" s="6">
        <f>COUNTIF(D$11:G$25,"&gt;=0.06")-COUNTIF(D$11:G$25,"&gt;0.07999")</f>
        <v>4</v>
      </c>
    </row>
    <row r="15" spans="1:15" x14ac:dyDescent="0.45">
      <c r="B15">
        <v>0.16</v>
      </c>
      <c r="D15">
        <v>0.09</v>
      </c>
      <c r="E15" s="5">
        <v>0.03</v>
      </c>
      <c r="F15" s="5">
        <v>0.04</v>
      </c>
      <c r="G15" s="5">
        <v>0.15</v>
      </c>
      <c r="H15" s="5"/>
      <c r="I15" s="5">
        <v>0.14000000000000001</v>
      </c>
      <c r="J15" s="5">
        <v>7.0000000000000007E-2</v>
      </c>
      <c r="K15" s="5"/>
      <c r="L15" s="5" t="s">
        <v>130</v>
      </c>
      <c r="M15" s="6">
        <f>COUNTIF(D$11:G$25,"&gt;=0.08")-COUNTIF(D$11:G$25,"&gt;0.09999")</f>
        <v>11</v>
      </c>
    </row>
    <row r="16" spans="1:15" x14ac:dyDescent="0.45">
      <c r="B16">
        <v>0.16</v>
      </c>
      <c r="D16">
        <v>0.09</v>
      </c>
      <c r="E16" s="5">
        <v>0.05</v>
      </c>
      <c r="F16" s="5">
        <v>0.09</v>
      </c>
      <c r="G16" s="5">
        <v>0.15</v>
      </c>
      <c r="H16" s="5"/>
      <c r="I16" s="5">
        <v>0.13</v>
      </c>
      <c r="J16" s="5">
        <v>0.04</v>
      </c>
      <c r="K16" s="5"/>
      <c r="L16" t="s">
        <v>131</v>
      </c>
      <c r="M16" s="6">
        <f>COUNTIF(D$11:G$25,"&gt;=0.10")-COUNTIF(D$11:G$25,"&gt;0.11999")</f>
        <v>1</v>
      </c>
    </row>
    <row r="17" spans="1:13" x14ac:dyDescent="0.45">
      <c r="B17">
        <v>0.15</v>
      </c>
      <c r="D17">
        <v>0.09</v>
      </c>
      <c r="E17" s="5">
        <v>7.0000000000000007E-2</v>
      </c>
      <c r="F17" s="5">
        <v>0.09</v>
      </c>
      <c r="G17" s="5">
        <v>0.17</v>
      </c>
      <c r="H17" s="5"/>
      <c r="I17" s="5">
        <v>0.16</v>
      </c>
      <c r="J17" s="5"/>
      <c r="K17" s="5"/>
      <c r="L17" t="s">
        <v>132</v>
      </c>
      <c r="M17" s="6">
        <f>COUNTIF(D$11:G$25,"&gt;=0.120")-COUNTIF(D$11:G$25,"&gt;0.13999")</f>
        <v>5</v>
      </c>
    </row>
    <row r="18" spans="1:13" x14ac:dyDescent="0.45">
      <c r="B18">
        <v>0.18</v>
      </c>
      <c r="D18">
        <v>0.12</v>
      </c>
      <c r="E18" s="5">
        <v>7.0000000000000007E-2</v>
      </c>
      <c r="F18" s="5">
        <v>0.08</v>
      </c>
      <c r="G18" s="5">
        <v>0.19</v>
      </c>
      <c r="H18" s="5"/>
      <c r="I18" s="5">
        <v>0.15</v>
      </c>
      <c r="J18" s="5"/>
      <c r="K18" s="5"/>
      <c r="L18" t="s">
        <v>133</v>
      </c>
      <c r="M18" s="6">
        <f>COUNTIF(D$11:G$25,"&gt;=0.140")-COUNTIF(D$11:G$25,"&gt;0.15999")</f>
        <v>3</v>
      </c>
    </row>
    <row r="19" spans="1:13" x14ac:dyDescent="0.45">
      <c r="D19">
        <v>0.08</v>
      </c>
      <c r="E19" s="5">
        <v>0.1</v>
      </c>
      <c r="F19" s="5">
        <v>0.03</v>
      </c>
      <c r="G19" s="5">
        <v>0.18</v>
      </c>
      <c r="H19" s="5"/>
      <c r="I19" s="5">
        <v>0.08</v>
      </c>
      <c r="J19" s="5"/>
      <c r="K19" s="5"/>
      <c r="L19" t="s">
        <v>134</v>
      </c>
      <c r="M19" s="6">
        <f>COUNTIF(D$11:G$25,"&gt;=0.160")-COUNTIF(D$11:G$25,"&gt;0.17999")</f>
        <v>4</v>
      </c>
    </row>
    <row r="20" spans="1:13" x14ac:dyDescent="0.45">
      <c r="E20" s="5">
        <v>0.05</v>
      </c>
      <c r="F20" s="5">
        <v>7.0000000000000007E-2</v>
      </c>
      <c r="G20" s="5">
        <v>0.17</v>
      </c>
      <c r="H20" s="5"/>
      <c r="I20" s="5">
        <v>0.15</v>
      </c>
      <c r="J20" s="5"/>
      <c r="K20" s="5"/>
      <c r="L20" t="s">
        <v>135</v>
      </c>
      <c r="M20" s="6">
        <f>COUNTIF(D$11:G$25,"&gt;=0.180")-COUNTIF(D$11:G$25,"&gt;0.19999")</f>
        <v>4</v>
      </c>
    </row>
    <row r="21" spans="1:13" x14ac:dyDescent="0.45">
      <c r="E21" s="5">
        <v>0.05</v>
      </c>
      <c r="F21" s="5">
        <v>0.06</v>
      </c>
      <c r="G21" s="5">
        <v>0.19</v>
      </c>
      <c r="H21" s="5"/>
      <c r="I21" s="5"/>
      <c r="J21" s="5"/>
      <c r="K21" s="5"/>
      <c r="L21" t="s">
        <v>136</v>
      </c>
      <c r="M21" s="6">
        <f>COUNTIF(D$11:G$25,"&gt;=0.20")-COUNTIF(D$11:G$25,"&gt;0.21999")</f>
        <v>2</v>
      </c>
    </row>
    <row r="22" spans="1:13" x14ac:dyDescent="0.45">
      <c r="E22" s="5">
        <v>0.03</v>
      </c>
      <c r="F22" s="5">
        <v>0.04</v>
      </c>
      <c r="G22" s="5">
        <v>0.21</v>
      </c>
      <c r="H22" s="5"/>
      <c r="I22" s="5"/>
      <c r="J22" s="5"/>
      <c r="K22" s="5"/>
    </row>
    <row r="23" spans="1:13" x14ac:dyDescent="0.45">
      <c r="E23" s="5">
        <v>0.03</v>
      </c>
      <c r="F23" s="5"/>
      <c r="G23" s="5">
        <v>0.19</v>
      </c>
      <c r="H23" s="5"/>
      <c r="I23" s="5"/>
      <c r="J23" s="5"/>
      <c r="K23" s="5"/>
    </row>
    <row r="24" spans="1:13" x14ac:dyDescent="0.45">
      <c r="E24" s="5"/>
      <c r="F24" s="5"/>
      <c r="G24" s="5">
        <v>0.13</v>
      </c>
      <c r="H24" s="5"/>
      <c r="I24" s="5"/>
      <c r="J24" s="5"/>
      <c r="K24" s="5"/>
      <c r="L24" t="s">
        <v>52</v>
      </c>
      <c r="M24" s="16">
        <f>SUM(M11:M21)</f>
        <v>49</v>
      </c>
    </row>
    <row r="25" spans="1:13" x14ac:dyDescent="0.45">
      <c r="E25" s="5"/>
      <c r="F25" s="5"/>
      <c r="G25" s="5">
        <v>0.12</v>
      </c>
      <c r="H25" s="5"/>
      <c r="I25" s="5"/>
      <c r="J25" s="5"/>
      <c r="K25" s="5"/>
    </row>
    <row r="26" spans="1:13" x14ac:dyDescent="0.45">
      <c r="E26" s="5"/>
      <c r="F26" s="5"/>
      <c r="K26" s="5"/>
    </row>
    <row r="27" spans="1:13" s="34" customFormat="1" x14ac:dyDescent="0.45">
      <c r="A27" s="34" t="s">
        <v>22</v>
      </c>
      <c r="B27" s="35">
        <f>SUM(B$11:B$18)/8</f>
        <v>0.17874999999999999</v>
      </c>
      <c r="C27" s="35"/>
      <c r="D27" s="35">
        <f>SUM(D$11:D$19)/9</f>
        <v>9.8888888888888873E-2</v>
      </c>
      <c r="E27" s="35">
        <f>SUM(E$11:E$23)/13</f>
        <v>4.8461538461538473E-2</v>
      </c>
      <c r="F27" s="35">
        <f>SUM(F$11:F$22)/12</f>
        <v>6.1666666666666668E-2</v>
      </c>
      <c r="G27" s="35">
        <f>SUM(G$11:G$25)/15</f>
        <v>0.16866666666666666</v>
      </c>
      <c r="H27" s="35">
        <f>SUM(D11:G25)/49</f>
        <v>9.7755102040816333E-2</v>
      </c>
      <c r="I27" s="35">
        <f>SUM(I$11:I$25)/I31</f>
        <v>0.14499999999999999</v>
      </c>
      <c r="J27" s="35">
        <f>SUM(J$11:J$25)/J31</f>
        <v>9.3333333333333338E-2</v>
      </c>
      <c r="K27" s="35"/>
    </row>
    <row r="28" spans="1:13" x14ac:dyDescent="0.45">
      <c r="A28" s="1" t="s">
        <v>23</v>
      </c>
      <c r="B28" s="39">
        <f>MEDIAN(B$11:B$18)</f>
        <v>0.17499999999999999</v>
      </c>
      <c r="C28" s="39"/>
      <c r="D28" s="39">
        <f>MEDIAN(D$11:D$19)</f>
        <v>0.09</v>
      </c>
      <c r="E28" s="39">
        <f>MEDIAN(E$11:E$23)</f>
        <v>0.05</v>
      </c>
      <c r="F28" s="39">
        <f>MEDIAN(F$11:F$22)</f>
        <v>6.5000000000000002E-2</v>
      </c>
      <c r="G28" s="39">
        <f>MEDIAN(G$11:G$25)</f>
        <v>0.17</v>
      </c>
      <c r="H28" s="39">
        <f>MEDIAN(D11:G25)</f>
        <v>0.09</v>
      </c>
      <c r="I28" s="39">
        <f>MEDIAN(I$11:I$25)</f>
        <v>0.15</v>
      </c>
      <c r="J28" s="39">
        <f>MEDIAN(J$11:J$16)</f>
        <v>0.09</v>
      </c>
      <c r="K28" s="5"/>
    </row>
    <row r="29" spans="1:13" s="34" customFormat="1" x14ac:dyDescent="0.45">
      <c r="A29" s="34" t="s">
        <v>25</v>
      </c>
      <c r="B29" s="35">
        <f>SMALL(B$12:B$18,1)</f>
        <v>0.15</v>
      </c>
      <c r="C29" s="35"/>
      <c r="D29" s="35">
        <f>SMALL(D$12:D$19,1)</f>
        <v>0.08</v>
      </c>
      <c r="E29" s="35">
        <f>SMALL(E$12:E$23,1)</f>
        <v>0.02</v>
      </c>
      <c r="F29" s="35">
        <f>SMALL(F$12:F$22,1)</f>
        <v>0.03</v>
      </c>
      <c r="G29" s="35">
        <f>SMALL(G$11:G$25,1)</f>
        <v>0.12</v>
      </c>
      <c r="H29" s="35">
        <f>SMALL(D11:G25,1)</f>
        <v>0.02</v>
      </c>
      <c r="I29" s="35">
        <f>SMALL(I$11:I$25,1)</f>
        <v>0.08</v>
      </c>
      <c r="J29" s="35">
        <f>SMALL(J$11:J$25,1)</f>
        <v>0.04</v>
      </c>
      <c r="K29" s="35"/>
    </row>
    <row r="30" spans="1:13" x14ac:dyDescent="0.45">
      <c r="A30" t="s">
        <v>24</v>
      </c>
      <c r="B30" s="5">
        <f>SMALL(B$11:B$18,8)</f>
        <v>0.24</v>
      </c>
      <c r="C30" s="5"/>
      <c r="D30" s="5">
        <f>SMALL(D$11:D$19,9)</f>
        <v>0.13</v>
      </c>
      <c r="E30" s="5">
        <f>SMALL(E$11:E$23,13)</f>
        <v>0.1</v>
      </c>
      <c r="F30" s="5">
        <f>SMALL(F$11:F$22,12)</f>
        <v>0.09</v>
      </c>
      <c r="G30" s="5">
        <f>SMALL(G$11:G$25,15)</f>
        <v>0.21</v>
      </c>
      <c r="H30" s="35">
        <f>SMALL(D11:G25,49)</f>
        <v>0.21</v>
      </c>
      <c r="I30" s="5">
        <f>SMALL(I$11:I$25,I31)</f>
        <v>0.2</v>
      </c>
      <c r="J30" s="5">
        <f>SMALL(J$11:J$25,J31)</f>
        <v>0.15</v>
      </c>
    </row>
    <row r="31" spans="1:13" s="34" customFormat="1" x14ac:dyDescent="0.45">
      <c r="A31" s="34" t="s">
        <v>52</v>
      </c>
      <c r="B31" s="37">
        <v>8</v>
      </c>
      <c r="C31" s="37"/>
      <c r="D31" s="34">
        <v>9</v>
      </c>
      <c r="E31" s="37">
        <v>13</v>
      </c>
      <c r="F31" s="37">
        <v>12</v>
      </c>
      <c r="G31" s="37">
        <v>15</v>
      </c>
      <c r="H31" s="37">
        <v>49</v>
      </c>
      <c r="I31" s="37">
        <v>10</v>
      </c>
      <c r="J31" s="37">
        <v>6</v>
      </c>
    </row>
  </sheetData>
  <pageMargins left="0.7" right="0.7" top="0.75" bottom="0.75" header="0.3" footer="0.3"/>
  <ignoredErrors>
    <ignoredError sqref="H27:H29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Sprise Bay Metaseds</vt:lpstr>
      <vt:lpstr>Pegmatite</vt:lpstr>
      <vt:lpstr>Basalt</vt:lpstr>
      <vt:lpstr>Amphibolite</vt:lpstr>
      <vt:lpstr>Yarra Ck Sh</vt:lpstr>
      <vt:lpstr>Hyaloclastite</vt:lpstr>
      <vt:lpstr>Granite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dhmoore</dc:creator>
  <cp:lastModifiedBy>David Moore</cp:lastModifiedBy>
  <dcterms:created xsi:type="dcterms:W3CDTF">2011-02-14T01:11:32Z</dcterms:created>
  <dcterms:modified xsi:type="dcterms:W3CDTF">2016-03-10T00:17:58Z</dcterms:modified>
</cp:coreProperties>
</file>