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theme/themeOverride1.xml" ContentType="application/vnd.openxmlformats-officedocument.themeOverride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theme/themeOverride2.xml" ContentType="application/vnd.openxmlformats-officedocument.themeOverride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theme/themeOverride3.xml" ContentType="application/vnd.openxmlformats-officedocument.themeOverride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15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CURRENT_PROJECTS\Thesis\Digital Files\Appendix 9 Measured Susceptibilities\"/>
    </mc:Choice>
  </mc:AlternateContent>
  <bookViews>
    <workbookView xWindow="278" yWindow="83" windowWidth="15203" windowHeight="8835" tabRatio="660"/>
  </bookViews>
  <sheets>
    <sheet name="Summary_Table" sheetId="23" r:id="rId1"/>
    <sheet name="Rocky_Cape_Gp" sheetId="1" r:id="rId2"/>
    <sheet name="Jacob_Qte" sheetId="24" r:id="rId3"/>
    <sheet name="Forest_Cong" sheetId="2" r:id="rId4"/>
    <sheet name="Togari_Slt" sheetId="4" r:id="rId5"/>
    <sheet name="Togari_Mafics" sheetId="5" r:id="rId6"/>
    <sheet name="Cowrie_Slt" sheetId="6" r:id="rId7"/>
    <sheet name="Irby_Slt" sheetId="7" r:id="rId8"/>
    <sheet name="Keith_Mm" sheetId="13" r:id="rId9"/>
    <sheet name="Mafic_Dyke" sheetId="3" r:id="rId10"/>
    <sheet name="Wynyd_Till" sheetId="8" r:id="rId11"/>
    <sheet name="Cooee_Dol" sheetId="14" r:id="rId12"/>
    <sheet name="Burnie_Fm" sheetId="17" r:id="rId13"/>
    <sheet name="Mottn_Spil" sheetId="9" r:id="rId14"/>
    <sheet name="Owen_Cong" sheetId="10" r:id="rId15"/>
    <sheet name="Moina_Sst" sheetId="16" r:id="rId16"/>
    <sheet name="Forth_Mm" sheetId="12" r:id="rId17"/>
    <sheet name="Serp" sheetId="11" r:id="rId18"/>
    <sheet name="Gabbro" sheetId="22" r:id="rId19"/>
    <sheet name="NeoP_Sed" sheetId="18" r:id="rId20"/>
    <sheet name="BadgerH_Sed" sheetId="20" r:id="rId21"/>
    <sheet name="Mathna_Gp" sheetId="21" r:id="rId22"/>
    <sheet name="Dolerite" sheetId="19" r:id="rId23"/>
    <sheet name="Cz_Basalt" sheetId="15" r:id="rId24"/>
    <sheet name="Sheet1" sheetId="25" r:id="rId25"/>
  </sheets>
  <definedNames>
    <definedName name="_xlnm.Print_Area" localSheetId="0">Summary_Table!$A$1:$N$107</definedName>
  </definedNames>
  <calcPr calcId="152511"/>
</workbook>
</file>

<file path=xl/calcChain.xml><?xml version="1.0" encoding="utf-8"?>
<calcChain xmlns="http://schemas.openxmlformats.org/spreadsheetml/2006/main">
  <c r="H108" i="23" l="1"/>
  <c r="H103" i="23"/>
  <c r="H99" i="23"/>
  <c r="H96" i="23"/>
  <c r="H84" i="23"/>
  <c r="H83" i="23"/>
  <c r="H77" i="23"/>
  <c r="H73" i="23"/>
  <c r="H70" i="23"/>
  <c r="K83" i="23"/>
  <c r="K84" i="23"/>
  <c r="H63" i="23"/>
  <c r="I58" i="23"/>
  <c r="K57" i="23"/>
  <c r="K108" i="23"/>
  <c r="K103" i="23"/>
  <c r="K99" i="23"/>
  <c r="K96" i="23"/>
  <c r="K77" i="23"/>
  <c r="K73" i="23"/>
  <c r="K70" i="23"/>
  <c r="K63" i="23"/>
  <c r="H50" i="23"/>
  <c r="K50" i="23"/>
  <c r="H49" i="23"/>
  <c r="K49" i="23"/>
  <c r="H48" i="23"/>
  <c r="K48" i="23"/>
  <c r="K42" i="23"/>
  <c r="H42" i="23"/>
  <c r="H33" i="23"/>
  <c r="K33" i="23"/>
  <c r="H28" i="23"/>
  <c r="K28" i="23"/>
  <c r="H21" i="23"/>
  <c r="K21" i="23"/>
  <c r="H20" i="23"/>
  <c r="H9" i="23"/>
  <c r="H2" i="23"/>
  <c r="K9" i="23"/>
  <c r="F77" i="16"/>
  <c r="F78" i="16"/>
  <c r="F79" i="16"/>
  <c r="F80" i="16"/>
  <c r="F81" i="16"/>
  <c r="F82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10" i="16"/>
  <c r="F11" i="16"/>
  <c r="I17" i="16" s="1"/>
  <c r="F12" i="16"/>
  <c r="F13" i="16"/>
  <c r="F14" i="16"/>
  <c r="F15" i="16"/>
  <c r="F16" i="16"/>
  <c r="F17" i="16"/>
  <c r="F18" i="16"/>
  <c r="F19" i="16"/>
  <c r="F9" i="16"/>
  <c r="I20" i="16" s="1"/>
  <c r="B23" i="16"/>
  <c r="AL19" i="11"/>
  <c r="J25" i="18"/>
  <c r="J24" i="18"/>
  <c r="J26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K24" i="20"/>
  <c r="K23" i="20"/>
  <c r="K22" i="20"/>
  <c r="K21" i="20"/>
  <c r="K20" i="20"/>
  <c r="K19" i="20"/>
  <c r="K18" i="20"/>
  <c r="K17" i="20"/>
  <c r="K16" i="20"/>
  <c r="K15" i="20"/>
  <c r="K14" i="20"/>
  <c r="K13" i="20"/>
  <c r="K12" i="20"/>
  <c r="K11" i="20"/>
  <c r="K10" i="20"/>
  <c r="K9" i="20"/>
  <c r="K8" i="20"/>
  <c r="K7" i="20"/>
  <c r="J10" i="23"/>
  <c r="I10" i="23"/>
  <c r="H10" i="23"/>
  <c r="E10" i="23"/>
  <c r="D10" i="23"/>
  <c r="B23" i="24"/>
  <c r="B22" i="24"/>
  <c r="G10" i="23" s="1"/>
  <c r="J51" i="23"/>
  <c r="I51" i="23"/>
  <c r="H51" i="23"/>
  <c r="G51" i="23"/>
  <c r="E51" i="23"/>
  <c r="D51" i="23"/>
  <c r="E28" i="18"/>
  <c r="D35" i="23"/>
  <c r="E35" i="23"/>
  <c r="E17" i="23"/>
  <c r="D17" i="23"/>
  <c r="E16" i="23"/>
  <c r="D16" i="23"/>
  <c r="F18" i="4"/>
  <c r="F17" i="4"/>
  <c r="F16" i="4"/>
  <c r="F15" i="4"/>
  <c r="F14" i="4"/>
  <c r="F13" i="4"/>
  <c r="F12" i="4"/>
  <c r="F11" i="4"/>
  <c r="F10" i="4"/>
  <c r="F9" i="4"/>
  <c r="F8" i="4"/>
  <c r="F7" i="4"/>
  <c r="AK15" i="19"/>
  <c r="AK33" i="19"/>
  <c r="AK32" i="19"/>
  <c r="AK31" i="19"/>
  <c r="AK30" i="19"/>
  <c r="AK29" i="19"/>
  <c r="AK28" i="19"/>
  <c r="AK27" i="19"/>
  <c r="AK26" i="19"/>
  <c r="AK25" i="19"/>
  <c r="AK24" i="19"/>
  <c r="AK23" i="19"/>
  <c r="AK22" i="19"/>
  <c r="AK21" i="19"/>
  <c r="AK20" i="19"/>
  <c r="AK19" i="19"/>
  <c r="AK18" i="19"/>
  <c r="AK17" i="19"/>
  <c r="AK16" i="19"/>
  <c r="AK14" i="19"/>
  <c r="AK13" i="19"/>
  <c r="AK12" i="19"/>
  <c r="AK11" i="19"/>
  <c r="AK10" i="19"/>
  <c r="AK9" i="19"/>
  <c r="AK8" i="19"/>
  <c r="AK7" i="19"/>
  <c r="F18" i="13"/>
  <c r="F17" i="13"/>
  <c r="F16" i="13"/>
  <c r="F15" i="13"/>
  <c r="F14" i="13"/>
  <c r="F13" i="13"/>
  <c r="F12" i="13"/>
  <c r="F11" i="13"/>
  <c r="F10" i="13"/>
  <c r="F9" i="13"/>
  <c r="F8" i="13"/>
  <c r="F7" i="13"/>
  <c r="Z8" i="21"/>
  <c r="AA8" i="21" s="1"/>
  <c r="Y11" i="21"/>
  <c r="Y12" i="21"/>
  <c r="Y13" i="21"/>
  <c r="Y19" i="21"/>
  <c r="Y20" i="21"/>
  <c r="Y21" i="21"/>
  <c r="Y27" i="21"/>
  <c r="Y28" i="21"/>
  <c r="Y29" i="21"/>
  <c r="Y35" i="21"/>
  <c r="Y36" i="21"/>
  <c r="Y37" i="21"/>
  <c r="Y43" i="21"/>
  <c r="Y44" i="21"/>
  <c r="Y45" i="21"/>
  <c r="Y51" i="21"/>
  <c r="Y52" i="21"/>
  <c r="Y53" i="21"/>
  <c r="Y59" i="21"/>
  <c r="Y60" i="21"/>
  <c r="Y61" i="21"/>
  <c r="Y67" i="21"/>
  <c r="Y68" i="21"/>
  <c r="Y69" i="21"/>
  <c r="Y75" i="21"/>
  <c r="Y76" i="21"/>
  <c r="Y8" i="21"/>
  <c r="X9" i="21"/>
  <c r="Y9" i="21" s="1"/>
  <c r="X10" i="21"/>
  <c r="Y10" i="21" s="1"/>
  <c r="X11" i="21"/>
  <c r="X12" i="21"/>
  <c r="X13" i="21"/>
  <c r="X14" i="21"/>
  <c r="Y14" i="21" s="1"/>
  <c r="X15" i="21"/>
  <c r="Y15" i="21" s="1"/>
  <c r="X16" i="21"/>
  <c r="Y16" i="21" s="1"/>
  <c r="X17" i="21"/>
  <c r="Y17" i="21" s="1"/>
  <c r="X18" i="21"/>
  <c r="Y18" i="21" s="1"/>
  <c r="X19" i="21"/>
  <c r="X20" i="21"/>
  <c r="X21" i="21"/>
  <c r="X22" i="21"/>
  <c r="Y22" i="21" s="1"/>
  <c r="X23" i="21"/>
  <c r="Y23" i="21" s="1"/>
  <c r="X24" i="21"/>
  <c r="Y24" i="21" s="1"/>
  <c r="X25" i="21"/>
  <c r="Y25" i="21" s="1"/>
  <c r="X26" i="21"/>
  <c r="Y26" i="21" s="1"/>
  <c r="X27" i="21"/>
  <c r="X28" i="21"/>
  <c r="X29" i="21"/>
  <c r="X30" i="21"/>
  <c r="Y30" i="21" s="1"/>
  <c r="X31" i="21"/>
  <c r="Y31" i="21" s="1"/>
  <c r="X32" i="21"/>
  <c r="Y32" i="21" s="1"/>
  <c r="X33" i="21"/>
  <c r="Y33" i="21" s="1"/>
  <c r="X34" i="21"/>
  <c r="Y34" i="21" s="1"/>
  <c r="X35" i="21"/>
  <c r="X36" i="21"/>
  <c r="X37" i="21"/>
  <c r="X38" i="21"/>
  <c r="Y38" i="21" s="1"/>
  <c r="X39" i="21"/>
  <c r="Y39" i="21" s="1"/>
  <c r="X40" i="21"/>
  <c r="Y40" i="21" s="1"/>
  <c r="X41" i="21"/>
  <c r="Y41" i="21" s="1"/>
  <c r="X42" i="21"/>
  <c r="Y42" i="21" s="1"/>
  <c r="X43" i="21"/>
  <c r="X44" i="21"/>
  <c r="X45" i="21"/>
  <c r="X46" i="21"/>
  <c r="Y46" i="21" s="1"/>
  <c r="X47" i="21"/>
  <c r="Y47" i="21" s="1"/>
  <c r="X48" i="21"/>
  <c r="Y48" i="21" s="1"/>
  <c r="X49" i="21"/>
  <c r="Y49" i="21" s="1"/>
  <c r="X50" i="21"/>
  <c r="Y50" i="21" s="1"/>
  <c r="X51" i="21"/>
  <c r="X52" i="21"/>
  <c r="X53" i="21"/>
  <c r="X54" i="21"/>
  <c r="Y54" i="21" s="1"/>
  <c r="X55" i="21"/>
  <c r="Y55" i="21" s="1"/>
  <c r="X56" i="21"/>
  <c r="Y56" i="21" s="1"/>
  <c r="X57" i="21"/>
  <c r="Y57" i="21" s="1"/>
  <c r="X58" i="21"/>
  <c r="Y58" i="21" s="1"/>
  <c r="X59" i="21"/>
  <c r="X60" i="21"/>
  <c r="X61" i="21"/>
  <c r="X62" i="21"/>
  <c r="Y62" i="21" s="1"/>
  <c r="X63" i="21"/>
  <c r="Y63" i="21" s="1"/>
  <c r="X64" i="21"/>
  <c r="Y64" i="21" s="1"/>
  <c r="X65" i="21"/>
  <c r="Y65" i="21" s="1"/>
  <c r="X66" i="21"/>
  <c r="Y66" i="21" s="1"/>
  <c r="X67" i="21"/>
  <c r="X68" i="21"/>
  <c r="X69" i="21"/>
  <c r="X70" i="21"/>
  <c r="Y70" i="21" s="1"/>
  <c r="X71" i="21"/>
  <c r="Y71" i="21" s="1"/>
  <c r="X72" i="21"/>
  <c r="Y72" i="21" s="1"/>
  <c r="X73" i="21"/>
  <c r="Y73" i="21" s="1"/>
  <c r="X74" i="21"/>
  <c r="Y74" i="21" s="1"/>
  <c r="X75" i="21"/>
  <c r="X76" i="21"/>
  <c r="X8" i="21"/>
  <c r="Q16" i="21"/>
  <c r="Q15" i="21"/>
  <c r="Q14" i="21"/>
  <c r="Q13" i="21"/>
  <c r="Q12" i="21"/>
  <c r="Q11" i="21"/>
  <c r="Q10" i="21"/>
  <c r="Q9" i="21"/>
  <c r="Q8" i="21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8" i="5"/>
  <c r="N7" i="3"/>
  <c r="M8" i="3"/>
  <c r="N8" i="3" s="1"/>
  <c r="K8" i="3"/>
  <c r="L8" i="3" s="1"/>
  <c r="K9" i="3"/>
  <c r="L9" i="3" s="1"/>
  <c r="K10" i="3"/>
  <c r="L10" i="3" s="1"/>
  <c r="K11" i="3"/>
  <c r="L11" i="3" s="1"/>
  <c r="K12" i="3"/>
  <c r="L12" i="3" s="1"/>
  <c r="K13" i="3"/>
  <c r="L13" i="3" s="1"/>
  <c r="K14" i="3"/>
  <c r="L14" i="3" s="1"/>
  <c r="K15" i="3"/>
  <c r="L15" i="3" s="1"/>
  <c r="K16" i="3"/>
  <c r="L16" i="3" s="1"/>
  <c r="K17" i="3"/>
  <c r="L17" i="3" s="1"/>
  <c r="K18" i="3"/>
  <c r="L18" i="3" s="1"/>
  <c r="K19" i="3"/>
  <c r="L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L25" i="3" s="1"/>
  <c r="K26" i="3"/>
  <c r="L26" i="3" s="1"/>
  <c r="K27" i="3"/>
  <c r="L27" i="3" s="1"/>
  <c r="K28" i="3"/>
  <c r="L28" i="3" s="1"/>
  <c r="K29" i="3"/>
  <c r="L29" i="3" s="1"/>
  <c r="K30" i="3"/>
  <c r="L30" i="3" s="1"/>
  <c r="K31" i="3"/>
  <c r="L31" i="3" s="1"/>
  <c r="K32" i="3"/>
  <c r="L32" i="3" s="1"/>
  <c r="K33" i="3"/>
  <c r="L33" i="3" s="1"/>
  <c r="K34" i="3"/>
  <c r="L34" i="3" s="1"/>
  <c r="K35" i="3"/>
  <c r="L35" i="3" s="1"/>
  <c r="K36" i="3"/>
  <c r="L36" i="3" s="1"/>
  <c r="K37" i="3"/>
  <c r="L37" i="3" s="1"/>
  <c r="K38" i="3"/>
  <c r="L38" i="3" s="1"/>
  <c r="K39" i="3"/>
  <c r="L39" i="3" s="1"/>
  <c r="K40" i="3"/>
  <c r="L40" i="3" s="1"/>
  <c r="K41" i="3"/>
  <c r="L41" i="3" s="1"/>
  <c r="K42" i="3"/>
  <c r="L42" i="3" s="1"/>
  <c r="K43" i="3"/>
  <c r="L43" i="3" s="1"/>
  <c r="K44" i="3"/>
  <c r="L44" i="3" s="1"/>
  <c r="K45" i="3"/>
  <c r="L45" i="3" s="1"/>
  <c r="K46" i="3"/>
  <c r="L46" i="3" s="1"/>
  <c r="K7" i="3"/>
  <c r="L7" i="3" s="1"/>
  <c r="P18" i="3"/>
  <c r="P17" i="3"/>
  <c r="P16" i="3"/>
  <c r="P15" i="3"/>
  <c r="P14" i="3"/>
  <c r="P13" i="3"/>
  <c r="P12" i="3"/>
  <c r="P11" i="3"/>
  <c r="P10" i="3"/>
  <c r="P9" i="3"/>
  <c r="P8" i="3"/>
  <c r="P7" i="3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J7" i="8"/>
  <c r="I8" i="8"/>
  <c r="J8" i="8" s="1"/>
  <c r="H9" i="8"/>
  <c r="H10" i="8"/>
  <c r="H14" i="8"/>
  <c r="H15" i="8"/>
  <c r="H17" i="8"/>
  <c r="H18" i="8"/>
  <c r="H22" i="8"/>
  <c r="H23" i="8"/>
  <c r="H25" i="8"/>
  <c r="H26" i="8"/>
  <c r="H30" i="8"/>
  <c r="H31" i="8"/>
  <c r="H33" i="8"/>
  <c r="H34" i="8"/>
  <c r="H38" i="8"/>
  <c r="H39" i="8"/>
  <c r="H41" i="8"/>
  <c r="H42" i="8"/>
  <c r="H46" i="8"/>
  <c r="H47" i="8"/>
  <c r="H49" i="8"/>
  <c r="H50" i="8"/>
  <c r="H54" i="8"/>
  <c r="H55" i="8"/>
  <c r="H7" i="8"/>
  <c r="G8" i="8"/>
  <c r="H8" i="8" s="1"/>
  <c r="G9" i="8"/>
  <c r="G10" i="8"/>
  <c r="G11" i="8"/>
  <c r="H11" i="8" s="1"/>
  <c r="G12" i="8"/>
  <c r="H12" i="8" s="1"/>
  <c r="G13" i="8"/>
  <c r="H13" i="8" s="1"/>
  <c r="G14" i="8"/>
  <c r="G15" i="8"/>
  <c r="G16" i="8"/>
  <c r="H16" i="8" s="1"/>
  <c r="G17" i="8"/>
  <c r="G18" i="8"/>
  <c r="G19" i="8"/>
  <c r="H19" i="8" s="1"/>
  <c r="G20" i="8"/>
  <c r="H20" i="8" s="1"/>
  <c r="G21" i="8"/>
  <c r="H21" i="8" s="1"/>
  <c r="G22" i="8"/>
  <c r="G23" i="8"/>
  <c r="G24" i="8"/>
  <c r="H24" i="8" s="1"/>
  <c r="G25" i="8"/>
  <c r="G26" i="8"/>
  <c r="G27" i="8"/>
  <c r="H27" i="8" s="1"/>
  <c r="G28" i="8"/>
  <c r="H28" i="8" s="1"/>
  <c r="G29" i="8"/>
  <c r="H29" i="8" s="1"/>
  <c r="G30" i="8"/>
  <c r="G31" i="8"/>
  <c r="G32" i="8"/>
  <c r="H32" i="8" s="1"/>
  <c r="G33" i="8"/>
  <c r="G34" i="8"/>
  <c r="G35" i="8"/>
  <c r="H35" i="8" s="1"/>
  <c r="G36" i="8"/>
  <c r="H36" i="8" s="1"/>
  <c r="G37" i="8"/>
  <c r="H37" i="8" s="1"/>
  <c r="G38" i="8"/>
  <c r="G39" i="8"/>
  <c r="G40" i="8"/>
  <c r="H40" i="8" s="1"/>
  <c r="G41" i="8"/>
  <c r="G42" i="8"/>
  <c r="G43" i="8"/>
  <c r="H43" i="8" s="1"/>
  <c r="G44" i="8"/>
  <c r="H44" i="8" s="1"/>
  <c r="G45" i="8"/>
  <c r="H45" i="8" s="1"/>
  <c r="G46" i="8"/>
  <c r="G47" i="8"/>
  <c r="G48" i="8"/>
  <c r="H48" i="8" s="1"/>
  <c r="G49" i="8"/>
  <c r="G50" i="8"/>
  <c r="G51" i="8"/>
  <c r="H51" i="8" s="1"/>
  <c r="G52" i="8"/>
  <c r="H52" i="8" s="1"/>
  <c r="G53" i="8"/>
  <c r="H53" i="8" s="1"/>
  <c r="G54" i="8"/>
  <c r="G55" i="8"/>
  <c r="G56" i="8"/>
  <c r="H56" i="8" s="1"/>
  <c r="G7" i="8"/>
  <c r="AG8" i="11"/>
  <c r="AG9" i="11"/>
  <c r="AG10" i="11"/>
  <c r="AG11" i="11"/>
  <c r="AG12" i="11"/>
  <c r="AG13" i="11"/>
  <c r="AG14" i="11"/>
  <c r="AG15" i="11"/>
  <c r="AG16" i="11"/>
  <c r="AG17" i="11"/>
  <c r="AG18" i="11"/>
  <c r="AG19" i="11"/>
  <c r="AG20" i="11"/>
  <c r="AG21" i="11"/>
  <c r="AG22" i="11"/>
  <c r="AG23" i="11"/>
  <c r="AG24" i="11"/>
  <c r="AG25" i="11"/>
  <c r="AG26" i="11"/>
  <c r="AG27" i="11"/>
  <c r="AG28" i="11"/>
  <c r="AG29" i="11"/>
  <c r="AG30" i="11"/>
  <c r="AG31" i="11"/>
  <c r="AG32" i="11"/>
  <c r="AG33" i="11"/>
  <c r="AG34" i="11"/>
  <c r="AG35" i="11"/>
  <c r="AG7" i="11"/>
  <c r="Y8" i="11"/>
  <c r="Y9" i="11"/>
  <c r="Y10" i="11"/>
  <c r="Y11" i="11"/>
  <c r="Y12" i="11"/>
  <c r="Y13" i="11"/>
  <c r="Y14" i="11"/>
  <c r="Y15" i="11"/>
  <c r="Y16" i="11"/>
  <c r="Y17" i="11"/>
  <c r="Y18" i="11"/>
  <c r="Y19" i="11"/>
  <c r="Y20" i="11"/>
  <c r="Y21" i="11"/>
  <c r="Y22" i="11"/>
  <c r="Y23" i="11"/>
  <c r="Y24" i="11"/>
  <c r="Y25" i="11"/>
  <c r="Y26" i="11"/>
  <c r="Y27" i="11"/>
  <c r="Y28" i="11"/>
  <c r="Y29" i="11"/>
  <c r="Y30" i="11"/>
  <c r="Y31" i="11"/>
  <c r="Y32" i="11"/>
  <c r="Y33" i="11"/>
  <c r="Y34" i="11"/>
  <c r="Y35" i="11"/>
  <c r="Y36" i="11"/>
  <c r="Y37" i="11"/>
  <c r="Y38" i="11"/>
  <c r="Y39" i="11"/>
  <c r="Y40" i="11"/>
  <c r="Y41" i="11"/>
  <c r="Y42" i="11"/>
  <c r="Y43" i="11"/>
  <c r="Y44" i="11"/>
  <c r="Y45" i="11"/>
  <c r="Y46" i="11"/>
  <c r="Y47" i="11"/>
  <c r="Y48" i="11"/>
  <c r="Y49" i="11"/>
  <c r="Y50" i="11"/>
  <c r="Y51" i="11"/>
  <c r="Y52" i="11"/>
  <c r="Y53" i="11"/>
  <c r="Y54" i="11"/>
  <c r="Y55" i="11"/>
  <c r="Y56" i="11"/>
  <c r="Y57" i="11"/>
  <c r="Y58" i="11"/>
  <c r="Y59" i="11"/>
  <c r="Y60" i="11"/>
  <c r="Y61" i="11"/>
  <c r="Y62" i="11"/>
  <c r="Y63" i="11"/>
  <c r="Y64" i="11"/>
  <c r="Y65" i="11"/>
  <c r="Y66" i="11"/>
  <c r="Y67" i="11"/>
  <c r="Y68" i="11"/>
  <c r="Y69" i="11"/>
  <c r="Y70" i="11"/>
  <c r="Y71" i="11"/>
  <c r="Y72" i="11"/>
  <c r="Y73" i="11"/>
  <c r="Y74" i="11"/>
  <c r="Y75" i="11"/>
  <c r="Y76" i="11"/>
  <c r="Y77" i="11"/>
  <c r="Y78" i="11"/>
  <c r="Y79" i="11"/>
  <c r="Y80" i="11"/>
  <c r="Y81" i="11"/>
  <c r="Y82" i="11"/>
  <c r="Y83" i="11"/>
  <c r="Y84" i="11"/>
  <c r="Y85" i="11"/>
  <c r="Y86" i="11"/>
  <c r="Y87" i="11"/>
  <c r="Y88" i="11"/>
  <c r="Y89" i="11"/>
  <c r="Y90" i="11"/>
  <c r="Y91" i="11"/>
  <c r="Y92" i="11"/>
  <c r="Y93" i="11"/>
  <c r="Y94" i="11"/>
  <c r="Y95" i="11"/>
  <c r="Y96" i="11"/>
  <c r="Y97" i="11"/>
  <c r="Y98" i="11"/>
  <c r="Y99" i="11"/>
  <c r="Y100" i="11"/>
  <c r="Y101" i="11"/>
  <c r="Y102" i="11"/>
  <c r="Y103" i="11"/>
  <c r="Y104" i="11"/>
  <c r="Y105" i="11"/>
  <c r="Y106" i="11"/>
  <c r="Y107" i="11"/>
  <c r="Y108" i="11"/>
  <c r="Y7" i="11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Y22" i="12"/>
  <c r="Y21" i="12"/>
  <c r="Y20" i="12"/>
  <c r="Y19" i="12"/>
  <c r="Y18" i="12"/>
  <c r="Y17" i="12"/>
  <c r="Y16" i="12"/>
  <c r="Y15" i="12"/>
  <c r="Y14" i="12"/>
  <c r="Y13" i="12"/>
  <c r="Y12" i="12"/>
  <c r="Y11" i="12"/>
  <c r="Y10" i="12"/>
  <c r="Y8" i="12"/>
  <c r="Y9" i="12"/>
  <c r="M7" i="12"/>
  <c r="L8" i="12"/>
  <c r="K10" i="12"/>
  <c r="K15" i="12"/>
  <c r="K18" i="12"/>
  <c r="K23" i="12"/>
  <c r="K26" i="12"/>
  <c r="K31" i="12"/>
  <c r="K34" i="12"/>
  <c r="K39" i="12"/>
  <c r="K42" i="12"/>
  <c r="K47" i="12"/>
  <c r="K50" i="12"/>
  <c r="K55" i="12"/>
  <c r="K58" i="12"/>
  <c r="K63" i="12"/>
  <c r="K66" i="12"/>
  <c r="K71" i="12"/>
  <c r="K74" i="12"/>
  <c r="K79" i="12"/>
  <c r="K82" i="12"/>
  <c r="K87" i="12"/>
  <c r="K90" i="12"/>
  <c r="K95" i="12"/>
  <c r="K98" i="12"/>
  <c r="K103" i="12"/>
  <c r="K106" i="12"/>
  <c r="J8" i="12"/>
  <c r="K8" i="12" s="1"/>
  <c r="J9" i="12"/>
  <c r="K9" i="12" s="1"/>
  <c r="J10" i="12"/>
  <c r="J11" i="12"/>
  <c r="K11" i="12" s="1"/>
  <c r="J12" i="12"/>
  <c r="K12" i="12" s="1"/>
  <c r="J13" i="12"/>
  <c r="K13" i="12" s="1"/>
  <c r="J14" i="12"/>
  <c r="K14" i="12" s="1"/>
  <c r="J15" i="12"/>
  <c r="J16" i="12"/>
  <c r="K16" i="12" s="1"/>
  <c r="J17" i="12"/>
  <c r="K17" i="12" s="1"/>
  <c r="J18" i="12"/>
  <c r="J19" i="12"/>
  <c r="K19" i="12" s="1"/>
  <c r="J20" i="12"/>
  <c r="K20" i="12" s="1"/>
  <c r="J21" i="12"/>
  <c r="K21" i="12" s="1"/>
  <c r="J22" i="12"/>
  <c r="K22" i="12" s="1"/>
  <c r="J23" i="12"/>
  <c r="J24" i="12"/>
  <c r="K24" i="12" s="1"/>
  <c r="J25" i="12"/>
  <c r="K25" i="12" s="1"/>
  <c r="J26" i="12"/>
  <c r="J27" i="12"/>
  <c r="K27" i="12" s="1"/>
  <c r="J28" i="12"/>
  <c r="K28" i="12" s="1"/>
  <c r="J29" i="12"/>
  <c r="K29" i="12" s="1"/>
  <c r="J30" i="12"/>
  <c r="K30" i="12" s="1"/>
  <c r="J31" i="12"/>
  <c r="J32" i="12"/>
  <c r="K32" i="12" s="1"/>
  <c r="J33" i="12"/>
  <c r="K33" i="12" s="1"/>
  <c r="J34" i="12"/>
  <c r="J35" i="12"/>
  <c r="K35" i="12" s="1"/>
  <c r="J36" i="12"/>
  <c r="K36" i="12" s="1"/>
  <c r="J37" i="12"/>
  <c r="K37" i="12" s="1"/>
  <c r="J38" i="12"/>
  <c r="K38" i="12" s="1"/>
  <c r="J39" i="12"/>
  <c r="J40" i="12"/>
  <c r="K40" i="12" s="1"/>
  <c r="J41" i="12"/>
  <c r="K41" i="12" s="1"/>
  <c r="J42" i="12"/>
  <c r="J43" i="12"/>
  <c r="K43" i="12" s="1"/>
  <c r="J44" i="12"/>
  <c r="K44" i="12" s="1"/>
  <c r="J45" i="12"/>
  <c r="K45" i="12" s="1"/>
  <c r="J46" i="12"/>
  <c r="K46" i="12" s="1"/>
  <c r="J47" i="12"/>
  <c r="J48" i="12"/>
  <c r="K48" i="12" s="1"/>
  <c r="J49" i="12"/>
  <c r="K49" i="12" s="1"/>
  <c r="J50" i="12"/>
  <c r="J51" i="12"/>
  <c r="K51" i="12" s="1"/>
  <c r="J52" i="12"/>
  <c r="K52" i="12" s="1"/>
  <c r="J53" i="12"/>
  <c r="K53" i="12" s="1"/>
  <c r="J54" i="12"/>
  <c r="K54" i="12" s="1"/>
  <c r="J55" i="12"/>
  <c r="J56" i="12"/>
  <c r="K56" i="12" s="1"/>
  <c r="J57" i="12"/>
  <c r="K57" i="12" s="1"/>
  <c r="J58" i="12"/>
  <c r="J59" i="12"/>
  <c r="K59" i="12" s="1"/>
  <c r="J60" i="12"/>
  <c r="K60" i="12" s="1"/>
  <c r="J61" i="12"/>
  <c r="K61" i="12" s="1"/>
  <c r="J62" i="12"/>
  <c r="K62" i="12" s="1"/>
  <c r="J63" i="12"/>
  <c r="J64" i="12"/>
  <c r="K64" i="12" s="1"/>
  <c r="J65" i="12"/>
  <c r="K65" i="12" s="1"/>
  <c r="J66" i="12"/>
  <c r="J67" i="12"/>
  <c r="K67" i="12" s="1"/>
  <c r="J68" i="12"/>
  <c r="K68" i="12" s="1"/>
  <c r="J69" i="12"/>
  <c r="K69" i="12" s="1"/>
  <c r="J70" i="12"/>
  <c r="K70" i="12" s="1"/>
  <c r="J71" i="12"/>
  <c r="J72" i="12"/>
  <c r="K72" i="12" s="1"/>
  <c r="J73" i="12"/>
  <c r="K73" i="12" s="1"/>
  <c r="J74" i="12"/>
  <c r="J75" i="12"/>
  <c r="K75" i="12" s="1"/>
  <c r="J76" i="12"/>
  <c r="K76" i="12" s="1"/>
  <c r="J77" i="12"/>
  <c r="K77" i="12" s="1"/>
  <c r="J78" i="12"/>
  <c r="K78" i="12" s="1"/>
  <c r="J79" i="12"/>
  <c r="J80" i="12"/>
  <c r="K80" i="12" s="1"/>
  <c r="J81" i="12"/>
  <c r="K81" i="12" s="1"/>
  <c r="J82" i="12"/>
  <c r="J83" i="12"/>
  <c r="K83" i="12" s="1"/>
  <c r="J84" i="12"/>
  <c r="K84" i="12" s="1"/>
  <c r="J85" i="12"/>
  <c r="K85" i="12" s="1"/>
  <c r="J86" i="12"/>
  <c r="K86" i="12" s="1"/>
  <c r="J87" i="12"/>
  <c r="J88" i="12"/>
  <c r="K88" i="12" s="1"/>
  <c r="J89" i="12"/>
  <c r="K89" i="12" s="1"/>
  <c r="J90" i="12"/>
  <c r="J91" i="12"/>
  <c r="K91" i="12" s="1"/>
  <c r="J92" i="12"/>
  <c r="K92" i="12" s="1"/>
  <c r="J93" i="12"/>
  <c r="K93" i="12" s="1"/>
  <c r="J94" i="12"/>
  <c r="K94" i="12" s="1"/>
  <c r="J95" i="12"/>
  <c r="J96" i="12"/>
  <c r="K96" i="12" s="1"/>
  <c r="J97" i="12"/>
  <c r="K97" i="12" s="1"/>
  <c r="J98" i="12"/>
  <c r="J99" i="12"/>
  <c r="K99" i="12" s="1"/>
  <c r="J100" i="12"/>
  <c r="K100" i="12" s="1"/>
  <c r="J101" i="12"/>
  <c r="K101" i="12" s="1"/>
  <c r="J102" i="12"/>
  <c r="K102" i="12" s="1"/>
  <c r="J103" i="12"/>
  <c r="J104" i="12"/>
  <c r="K104" i="12" s="1"/>
  <c r="J105" i="12"/>
  <c r="K105" i="12" s="1"/>
  <c r="J106" i="12"/>
  <c r="J107" i="12"/>
  <c r="K107" i="12" s="1"/>
  <c r="J108" i="12"/>
  <c r="K108" i="12" s="1"/>
  <c r="J109" i="12"/>
  <c r="K109" i="12" s="1"/>
  <c r="J7" i="12"/>
  <c r="K7" i="12" s="1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AH21" i="19"/>
  <c r="AH20" i="19"/>
  <c r="AH19" i="19"/>
  <c r="AH18" i="19"/>
  <c r="AH17" i="19"/>
  <c r="AH16" i="19"/>
  <c r="AH15" i="19"/>
  <c r="AH14" i="19"/>
  <c r="AH13" i="19"/>
  <c r="AH12" i="19"/>
  <c r="AH11" i="19"/>
  <c r="AH10" i="19"/>
  <c r="AH9" i="19"/>
  <c r="AH8" i="19"/>
  <c r="AH7" i="19"/>
  <c r="AE23" i="19"/>
  <c r="AE22" i="19"/>
  <c r="AE21" i="19"/>
  <c r="AE20" i="19"/>
  <c r="AE19" i="19"/>
  <c r="AE18" i="19"/>
  <c r="AE17" i="19"/>
  <c r="AE16" i="19"/>
  <c r="AE15" i="19"/>
  <c r="AE14" i="19"/>
  <c r="AE13" i="19"/>
  <c r="AE12" i="19"/>
  <c r="AE11" i="19"/>
  <c r="AE10" i="19"/>
  <c r="AE9" i="19"/>
  <c r="AE8" i="19"/>
  <c r="AE7" i="19"/>
  <c r="AK54" i="9"/>
  <c r="AK53" i="9"/>
  <c r="AK52" i="9"/>
  <c r="AK51" i="9"/>
  <c r="AK50" i="9"/>
  <c r="AM17" i="9"/>
  <c r="AM16" i="9"/>
  <c r="AM15" i="9"/>
  <c r="AM14" i="9"/>
  <c r="AM13" i="9"/>
  <c r="AM12" i="9"/>
  <c r="AM11" i="9"/>
  <c r="AM10" i="9"/>
  <c r="AM9" i="9"/>
  <c r="AM8" i="9"/>
  <c r="AM7" i="9"/>
  <c r="AM6" i="9"/>
  <c r="AM5" i="9"/>
  <c r="AK63" i="9"/>
  <c r="AK62" i="9"/>
  <c r="AK61" i="9"/>
  <c r="AK60" i="9"/>
  <c r="AK59" i="9"/>
  <c r="AK58" i="9"/>
  <c r="AK57" i="9"/>
  <c r="AK56" i="9"/>
  <c r="AK55" i="9"/>
  <c r="AK49" i="9"/>
  <c r="AK48" i="9"/>
  <c r="AK47" i="9"/>
  <c r="AK46" i="9"/>
  <c r="AK45" i="9"/>
  <c r="AK44" i="9"/>
  <c r="AK43" i="9"/>
  <c r="AP32" i="11"/>
  <c r="AP31" i="11"/>
  <c r="AP30" i="11"/>
  <c r="AP29" i="11"/>
  <c r="AP28" i="11"/>
  <c r="AP27" i="11"/>
  <c r="AP26" i="11"/>
  <c r="AP25" i="11"/>
  <c r="AP24" i="11"/>
  <c r="AP23" i="11"/>
  <c r="AP22" i="11"/>
  <c r="AP21" i="11"/>
  <c r="AP20" i="11"/>
  <c r="AP19" i="11"/>
  <c r="AP18" i="11"/>
  <c r="AP17" i="11"/>
  <c r="AP16" i="11"/>
  <c r="AP15" i="11"/>
  <c r="AP14" i="11"/>
  <c r="AP13" i="11"/>
  <c r="AP12" i="11"/>
  <c r="AP11" i="11"/>
  <c r="AP10" i="11"/>
  <c r="AP9" i="11"/>
  <c r="AP8" i="11"/>
  <c r="AP7" i="11"/>
  <c r="AN32" i="11"/>
  <c r="AN31" i="11"/>
  <c r="AN30" i="11"/>
  <c r="AN29" i="11"/>
  <c r="AN28" i="11"/>
  <c r="AN27" i="11"/>
  <c r="AN26" i="11"/>
  <c r="AN25" i="11"/>
  <c r="AN24" i="11"/>
  <c r="AN23" i="11"/>
  <c r="AN22" i="11"/>
  <c r="AN21" i="11"/>
  <c r="AN20" i="11"/>
  <c r="AN19" i="11"/>
  <c r="AN18" i="11"/>
  <c r="AN17" i="11"/>
  <c r="AN16" i="11"/>
  <c r="AN15" i="11"/>
  <c r="AN14" i="11"/>
  <c r="AN13" i="11"/>
  <c r="AN12" i="11"/>
  <c r="AN11" i="11"/>
  <c r="AN10" i="11"/>
  <c r="AN9" i="11"/>
  <c r="AN8" i="11"/>
  <c r="AN7" i="11"/>
  <c r="AL7" i="11"/>
  <c r="AL32" i="11"/>
  <c r="AL31" i="11"/>
  <c r="AL30" i="11"/>
  <c r="AL29" i="11"/>
  <c r="AL28" i="11"/>
  <c r="AL27" i="11"/>
  <c r="AL26" i="11"/>
  <c r="AL25" i="11"/>
  <c r="AL24" i="11"/>
  <c r="AL23" i="11"/>
  <c r="AL22" i="11"/>
  <c r="AL21" i="11"/>
  <c r="AL20" i="11"/>
  <c r="AL18" i="11"/>
  <c r="AL17" i="11"/>
  <c r="AL16" i="11"/>
  <c r="AL15" i="11"/>
  <c r="AL14" i="11"/>
  <c r="AL12" i="11"/>
  <c r="AL13" i="11"/>
  <c r="AL11" i="11"/>
  <c r="AL10" i="11"/>
  <c r="AL9" i="11"/>
  <c r="AL8" i="11"/>
  <c r="AK42" i="9"/>
  <c r="AK41" i="9"/>
  <c r="AK40" i="9"/>
  <c r="AK39" i="9"/>
  <c r="AK37" i="9"/>
  <c r="AK38" i="9"/>
  <c r="AK36" i="9"/>
  <c r="AK35" i="9"/>
  <c r="AK34" i="9"/>
  <c r="AK33" i="9"/>
  <c r="AK32" i="9"/>
  <c r="AK31" i="9"/>
  <c r="AK30" i="9"/>
  <c r="AK29" i="9"/>
  <c r="AK28" i="9"/>
  <c r="AK27" i="9"/>
  <c r="AK26" i="9"/>
  <c r="AK25" i="9"/>
  <c r="AK17" i="9"/>
  <c r="AK16" i="9"/>
  <c r="AK15" i="9"/>
  <c r="AK14" i="9"/>
  <c r="AK13" i="9"/>
  <c r="AK12" i="9"/>
  <c r="AK11" i="9"/>
  <c r="AK10" i="9"/>
  <c r="AK9" i="9"/>
  <c r="AK8" i="9"/>
  <c r="AK7" i="9"/>
  <c r="AK6" i="9"/>
  <c r="AK5" i="9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AB8" i="19"/>
  <c r="AA9" i="19"/>
  <c r="AB9" i="19" s="1"/>
  <c r="AI7" i="11"/>
  <c r="Z10" i="19"/>
  <c r="Z11" i="19"/>
  <c r="Z12" i="19"/>
  <c r="Z18" i="19"/>
  <c r="Z19" i="19"/>
  <c r="Z20" i="19"/>
  <c r="Z22" i="19"/>
  <c r="Z26" i="19"/>
  <c r="Z27" i="19"/>
  <c r="Z28" i="19"/>
  <c r="Z35" i="19"/>
  <c r="Z36" i="19"/>
  <c r="Z38" i="19"/>
  <c r="Z43" i="19"/>
  <c r="Z44" i="19"/>
  <c r="Z51" i="19"/>
  <c r="Z52" i="19"/>
  <c r="Z54" i="19"/>
  <c r="Z59" i="19"/>
  <c r="Z60" i="19"/>
  <c r="Z67" i="19"/>
  <c r="Z68" i="19"/>
  <c r="Y9" i="19"/>
  <c r="Z9" i="19" s="1"/>
  <c r="Y10" i="19"/>
  <c r="Y11" i="19"/>
  <c r="Y12" i="19"/>
  <c r="Y13" i="19"/>
  <c r="Z13" i="19" s="1"/>
  <c r="Y14" i="19"/>
  <c r="Z14" i="19" s="1"/>
  <c r="Y15" i="19"/>
  <c r="Z15" i="19" s="1"/>
  <c r="Y16" i="19"/>
  <c r="Z16" i="19" s="1"/>
  <c r="Y17" i="19"/>
  <c r="Z17" i="19" s="1"/>
  <c r="Y18" i="19"/>
  <c r="Y19" i="19"/>
  <c r="Y20" i="19"/>
  <c r="Y21" i="19"/>
  <c r="Z21" i="19" s="1"/>
  <c r="Y22" i="19"/>
  <c r="Y23" i="19"/>
  <c r="Z23" i="19" s="1"/>
  <c r="Y24" i="19"/>
  <c r="Z24" i="19" s="1"/>
  <c r="Y25" i="19"/>
  <c r="Z25" i="19" s="1"/>
  <c r="Y26" i="19"/>
  <c r="Y27" i="19"/>
  <c r="Y28" i="19"/>
  <c r="Y29" i="19"/>
  <c r="Z29" i="19" s="1"/>
  <c r="Y30" i="19"/>
  <c r="Z30" i="19" s="1"/>
  <c r="Y31" i="19"/>
  <c r="Z31" i="19" s="1"/>
  <c r="Y32" i="19"/>
  <c r="Z32" i="19" s="1"/>
  <c r="Y33" i="19"/>
  <c r="Z33" i="19" s="1"/>
  <c r="Y34" i="19"/>
  <c r="Z34" i="19" s="1"/>
  <c r="Y35" i="19"/>
  <c r="Y36" i="19"/>
  <c r="Y37" i="19"/>
  <c r="Z37" i="19" s="1"/>
  <c r="Y38" i="19"/>
  <c r="Y39" i="19"/>
  <c r="Z39" i="19" s="1"/>
  <c r="Y40" i="19"/>
  <c r="Z40" i="19" s="1"/>
  <c r="Y41" i="19"/>
  <c r="Z41" i="19" s="1"/>
  <c r="Y42" i="19"/>
  <c r="Z42" i="19" s="1"/>
  <c r="Y43" i="19"/>
  <c r="Y44" i="19"/>
  <c r="Y45" i="19"/>
  <c r="Z45" i="19" s="1"/>
  <c r="Y46" i="19"/>
  <c r="Z46" i="19" s="1"/>
  <c r="Y47" i="19"/>
  <c r="Z47" i="19" s="1"/>
  <c r="Y48" i="19"/>
  <c r="Z48" i="19" s="1"/>
  <c r="Y49" i="19"/>
  <c r="Z49" i="19" s="1"/>
  <c r="Y50" i="19"/>
  <c r="Z50" i="19" s="1"/>
  <c r="Y51" i="19"/>
  <c r="Y52" i="19"/>
  <c r="Y53" i="19"/>
  <c r="Z53" i="19" s="1"/>
  <c r="Y54" i="19"/>
  <c r="Y55" i="19"/>
  <c r="Z55" i="19" s="1"/>
  <c r="Y56" i="19"/>
  <c r="Z56" i="19" s="1"/>
  <c r="Y57" i="19"/>
  <c r="Z57" i="19" s="1"/>
  <c r="Y58" i="19"/>
  <c r="Z58" i="19" s="1"/>
  <c r="Y59" i="19"/>
  <c r="Y60" i="19"/>
  <c r="Y61" i="19"/>
  <c r="Z61" i="19" s="1"/>
  <c r="Y62" i="19"/>
  <c r="Z62" i="19" s="1"/>
  <c r="Y63" i="19"/>
  <c r="Z63" i="19" s="1"/>
  <c r="Y64" i="19"/>
  <c r="Z64" i="19" s="1"/>
  <c r="Y65" i="19"/>
  <c r="Z65" i="19" s="1"/>
  <c r="Y66" i="19"/>
  <c r="Z66" i="19" s="1"/>
  <c r="Y67" i="19"/>
  <c r="Y68" i="19"/>
  <c r="Y8" i="19"/>
  <c r="Z8" i="19" s="1"/>
  <c r="U8" i="19"/>
  <c r="T9" i="19"/>
  <c r="U9" i="19" s="1"/>
  <c r="S11" i="19"/>
  <c r="S13" i="19"/>
  <c r="S19" i="19"/>
  <c r="S21" i="19"/>
  <c r="S22" i="19"/>
  <c r="S23" i="19"/>
  <c r="S30" i="19"/>
  <c r="S32" i="19"/>
  <c r="S38" i="19"/>
  <c r="S40" i="19"/>
  <c r="S46" i="19"/>
  <c r="S48" i="19"/>
  <c r="S54" i="19"/>
  <c r="S56" i="19"/>
  <c r="S62" i="19"/>
  <c r="S64" i="19"/>
  <c r="S70" i="19"/>
  <c r="R9" i="19"/>
  <c r="S9" i="19" s="1"/>
  <c r="R10" i="19"/>
  <c r="S10" i="19" s="1"/>
  <c r="R11" i="19"/>
  <c r="R12" i="19"/>
  <c r="S12" i="19" s="1"/>
  <c r="R13" i="19"/>
  <c r="R14" i="19"/>
  <c r="S14" i="19" s="1"/>
  <c r="R15" i="19"/>
  <c r="S15" i="19" s="1"/>
  <c r="R16" i="19"/>
  <c r="S16" i="19" s="1"/>
  <c r="R17" i="19"/>
  <c r="S17" i="19" s="1"/>
  <c r="R18" i="19"/>
  <c r="S18" i="19" s="1"/>
  <c r="R19" i="19"/>
  <c r="R20" i="19"/>
  <c r="S20" i="19" s="1"/>
  <c r="R21" i="19"/>
  <c r="R22" i="19"/>
  <c r="R23" i="19"/>
  <c r="R24" i="19"/>
  <c r="S24" i="19" s="1"/>
  <c r="R25" i="19"/>
  <c r="S25" i="19" s="1"/>
  <c r="R26" i="19"/>
  <c r="S26" i="19" s="1"/>
  <c r="R27" i="19"/>
  <c r="S27" i="19" s="1"/>
  <c r="R28" i="19"/>
  <c r="S28" i="19" s="1"/>
  <c r="R29" i="19"/>
  <c r="S29" i="19" s="1"/>
  <c r="R30" i="19"/>
  <c r="R31" i="19"/>
  <c r="S31" i="19" s="1"/>
  <c r="R32" i="19"/>
  <c r="R33" i="19"/>
  <c r="S33" i="19" s="1"/>
  <c r="R34" i="19"/>
  <c r="S34" i="19" s="1"/>
  <c r="R35" i="19"/>
  <c r="S35" i="19" s="1"/>
  <c r="R36" i="19"/>
  <c r="S36" i="19" s="1"/>
  <c r="R37" i="19"/>
  <c r="S37" i="19" s="1"/>
  <c r="R38" i="19"/>
  <c r="R39" i="19"/>
  <c r="S39" i="19" s="1"/>
  <c r="R40" i="19"/>
  <c r="R41" i="19"/>
  <c r="S41" i="19" s="1"/>
  <c r="R42" i="19"/>
  <c r="S42" i="19" s="1"/>
  <c r="R43" i="19"/>
  <c r="S43" i="19" s="1"/>
  <c r="R44" i="19"/>
  <c r="S44" i="19" s="1"/>
  <c r="R45" i="19"/>
  <c r="S45" i="19" s="1"/>
  <c r="R46" i="19"/>
  <c r="R47" i="19"/>
  <c r="S47" i="19" s="1"/>
  <c r="R48" i="19"/>
  <c r="R49" i="19"/>
  <c r="S49" i="19" s="1"/>
  <c r="R50" i="19"/>
  <c r="S50" i="19" s="1"/>
  <c r="R51" i="19"/>
  <c r="S51" i="19" s="1"/>
  <c r="R52" i="19"/>
  <c r="S52" i="19" s="1"/>
  <c r="R53" i="19"/>
  <c r="S53" i="19" s="1"/>
  <c r="R54" i="19"/>
  <c r="R55" i="19"/>
  <c r="S55" i="19" s="1"/>
  <c r="R56" i="19"/>
  <c r="R57" i="19"/>
  <c r="S57" i="19" s="1"/>
  <c r="R58" i="19"/>
  <c r="S58" i="19" s="1"/>
  <c r="R59" i="19"/>
  <c r="S59" i="19" s="1"/>
  <c r="R60" i="19"/>
  <c r="S60" i="19" s="1"/>
  <c r="R61" i="19"/>
  <c r="S61" i="19" s="1"/>
  <c r="R62" i="19"/>
  <c r="R63" i="19"/>
  <c r="S63" i="19" s="1"/>
  <c r="R64" i="19"/>
  <c r="R65" i="19"/>
  <c r="S65" i="19" s="1"/>
  <c r="R66" i="19"/>
  <c r="S66" i="19" s="1"/>
  <c r="R67" i="19"/>
  <c r="S67" i="19" s="1"/>
  <c r="R68" i="19"/>
  <c r="S68" i="19" s="1"/>
  <c r="R69" i="19"/>
  <c r="S69" i="19" s="1"/>
  <c r="R70" i="19"/>
  <c r="R8" i="19"/>
  <c r="S8" i="19" s="1"/>
  <c r="N8" i="5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2" i="5" s="1"/>
  <c r="N23" i="5" s="1"/>
  <c r="N24" i="5" s="1"/>
  <c r="N25" i="5" s="1"/>
  <c r="N26" i="5" s="1"/>
  <c r="N27" i="5" s="1"/>
  <c r="N28" i="5" s="1"/>
  <c r="N29" i="5" s="1"/>
  <c r="N30" i="5" s="1"/>
  <c r="N31" i="5" s="1"/>
  <c r="N32" i="5" s="1"/>
  <c r="N33" i="5" s="1"/>
  <c r="N34" i="5" s="1"/>
  <c r="N35" i="5" s="1"/>
  <c r="N36" i="5" s="1"/>
  <c r="N37" i="5" s="1"/>
  <c r="N38" i="5" s="1"/>
  <c r="N39" i="5" s="1"/>
  <c r="N40" i="5" s="1"/>
  <c r="N41" i="5" s="1"/>
  <c r="N42" i="5" s="1"/>
  <c r="N43" i="5" s="1"/>
  <c r="N44" i="5" s="1"/>
  <c r="N45" i="5" s="1"/>
  <c r="N46" i="5" s="1"/>
  <c r="N47" i="5" s="1"/>
  <c r="N48" i="5" s="1"/>
  <c r="N49" i="5" s="1"/>
  <c r="N50" i="5" s="1"/>
  <c r="N51" i="5" s="1"/>
  <c r="N52" i="5" s="1"/>
  <c r="N53" i="5" s="1"/>
  <c r="N54" i="5" s="1"/>
  <c r="N55" i="5" s="1"/>
  <c r="N56" i="5" s="1"/>
  <c r="N57" i="5" s="1"/>
  <c r="N58" i="5" s="1"/>
  <c r="N59" i="5" s="1"/>
  <c r="N60" i="5" s="1"/>
  <c r="N61" i="5" s="1"/>
  <c r="N62" i="5" s="1"/>
  <c r="N63" i="5" s="1"/>
  <c r="N64" i="5" s="1"/>
  <c r="N65" i="5" s="1"/>
  <c r="N66" i="5" s="1"/>
  <c r="N67" i="5" s="1"/>
  <c r="M9" i="5"/>
  <c r="M21" i="5"/>
  <c r="M23" i="5"/>
  <c r="M25" i="5"/>
  <c r="M37" i="5"/>
  <c r="M39" i="5"/>
  <c r="M41" i="5"/>
  <c r="M53" i="5"/>
  <c r="M55" i="5"/>
  <c r="M57" i="5"/>
  <c r="L8" i="5"/>
  <c r="M8" i="5" s="1"/>
  <c r="L9" i="5"/>
  <c r="L10" i="5"/>
  <c r="M10" i="5" s="1"/>
  <c r="L11" i="5"/>
  <c r="M11" i="5" s="1"/>
  <c r="L12" i="5"/>
  <c r="M12" i="5" s="1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19" i="5"/>
  <c r="M19" i="5" s="1"/>
  <c r="L20" i="5"/>
  <c r="M20" i="5" s="1"/>
  <c r="L21" i="5"/>
  <c r="L22" i="5"/>
  <c r="M22" i="5" s="1"/>
  <c r="L23" i="5"/>
  <c r="L24" i="5"/>
  <c r="M24" i="5" s="1"/>
  <c r="L25" i="5"/>
  <c r="L26" i="5"/>
  <c r="M26" i="5" s="1"/>
  <c r="L27" i="5"/>
  <c r="M27" i="5" s="1"/>
  <c r="L28" i="5"/>
  <c r="M28" i="5" s="1"/>
  <c r="L29" i="5"/>
  <c r="M29" i="5" s="1"/>
  <c r="L30" i="5"/>
  <c r="M30" i="5" s="1"/>
  <c r="L31" i="5"/>
  <c r="M31" i="5" s="1"/>
  <c r="L32" i="5"/>
  <c r="M32" i="5" s="1"/>
  <c r="L33" i="5"/>
  <c r="M33" i="5" s="1"/>
  <c r="L34" i="5"/>
  <c r="M34" i="5" s="1"/>
  <c r="L35" i="5"/>
  <c r="M35" i="5" s="1"/>
  <c r="L36" i="5"/>
  <c r="M36" i="5" s="1"/>
  <c r="L37" i="5"/>
  <c r="L38" i="5"/>
  <c r="M38" i="5" s="1"/>
  <c r="L39" i="5"/>
  <c r="L40" i="5"/>
  <c r="M40" i="5" s="1"/>
  <c r="L41" i="5"/>
  <c r="L42" i="5"/>
  <c r="M42" i="5" s="1"/>
  <c r="L43" i="5"/>
  <c r="M43" i="5" s="1"/>
  <c r="L44" i="5"/>
  <c r="M44" i="5" s="1"/>
  <c r="L45" i="5"/>
  <c r="M45" i="5" s="1"/>
  <c r="L46" i="5"/>
  <c r="M46" i="5" s="1"/>
  <c r="L47" i="5"/>
  <c r="M47" i="5" s="1"/>
  <c r="L48" i="5"/>
  <c r="M48" i="5" s="1"/>
  <c r="L49" i="5"/>
  <c r="M49" i="5" s="1"/>
  <c r="L50" i="5"/>
  <c r="M50" i="5" s="1"/>
  <c r="L51" i="5"/>
  <c r="M51" i="5" s="1"/>
  <c r="L52" i="5"/>
  <c r="M52" i="5" s="1"/>
  <c r="L53" i="5"/>
  <c r="L54" i="5"/>
  <c r="M54" i="5" s="1"/>
  <c r="L55" i="5"/>
  <c r="L56" i="5"/>
  <c r="M56" i="5" s="1"/>
  <c r="L57" i="5"/>
  <c r="L58" i="5"/>
  <c r="M58" i="5" s="1"/>
  <c r="L59" i="5"/>
  <c r="M59" i="5" s="1"/>
  <c r="L60" i="5"/>
  <c r="M60" i="5" s="1"/>
  <c r="L61" i="5"/>
  <c r="M61" i="5" s="1"/>
  <c r="L62" i="5"/>
  <c r="M62" i="5" s="1"/>
  <c r="L63" i="5"/>
  <c r="M63" i="5" s="1"/>
  <c r="L64" i="5"/>
  <c r="M64" i="5" s="1"/>
  <c r="L65" i="5"/>
  <c r="M65" i="5" s="1"/>
  <c r="L66" i="5"/>
  <c r="M66" i="5" s="1"/>
  <c r="L67" i="5"/>
  <c r="M67" i="5" s="1"/>
  <c r="L7" i="5"/>
  <c r="M7" i="5" s="1"/>
  <c r="AH8" i="11"/>
  <c r="AH9" i="11" s="1"/>
  <c r="AH10" i="11" s="1"/>
  <c r="AH11" i="11" s="1"/>
  <c r="AH12" i="11" s="1"/>
  <c r="AH13" i="11" s="1"/>
  <c r="AH14" i="11" s="1"/>
  <c r="AH15" i="11" s="1"/>
  <c r="AH16" i="11" s="1"/>
  <c r="AH17" i="11" s="1"/>
  <c r="AH18" i="11" s="1"/>
  <c r="AH19" i="11" s="1"/>
  <c r="AH20" i="11" s="1"/>
  <c r="AH21" i="11" s="1"/>
  <c r="AH22" i="11" s="1"/>
  <c r="AH23" i="11" s="1"/>
  <c r="AH24" i="11" s="1"/>
  <c r="AH25" i="11" s="1"/>
  <c r="AH26" i="11" s="1"/>
  <c r="AH27" i="11" s="1"/>
  <c r="AH28" i="11" s="1"/>
  <c r="AH29" i="11" s="1"/>
  <c r="AH30" i="11" s="1"/>
  <c r="AH31" i="11" s="1"/>
  <c r="AH32" i="11" s="1"/>
  <c r="AH33" i="11" s="1"/>
  <c r="AH34" i="11" s="1"/>
  <c r="AH35" i="11" s="1"/>
  <c r="AI35" i="11" s="1"/>
  <c r="AF8" i="11"/>
  <c r="AF9" i="11"/>
  <c r="AF10" i="11"/>
  <c r="AF11" i="11"/>
  <c r="AF12" i="11"/>
  <c r="AF13" i="11"/>
  <c r="AF14" i="11"/>
  <c r="AF15" i="11"/>
  <c r="AF16" i="11"/>
  <c r="AF17" i="11"/>
  <c r="AF18" i="11"/>
  <c r="AF19" i="11"/>
  <c r="AF20" i="11"/>
  <c r="AF21" i="11"/>
  <c r="AF22" i="11"/>
  <c r="AF23" i="11"/>
  <c r="AF24" i="11"/>
  <c r="AF25" i="11"/>
  <c r="AF26" i="11"/>
  <c r="AF27" i="11"/>
  <c r="AF28" i="11"/>
  <c r="AF29" i="11"/>
  <c r="AF30" i="11"/>
  <c r="AF31" i="11"/>
  <c r="AF32" i="11"/>
  <c r="AF33" i="11"/>
  <c r="AF34" i="11"/>
  <c r="AF35" i="11"/>
  <c r="AF7" i="11"/>
  <c r="X8" i="11"/>
  <c r="X9" i="11" s="1"/>
  <c r="X10" i="11" s="1"/>
  <c r="X11" i="11" s="1"/>
  <c r="X12" i="11" s="1"/>
  <c r="X13" i="11" s="1"/>
  <c r="X14" i="11" s="1"/>
  <c r="X15" i="11" s="1"/>
  <c r="X16" i="11" s="1"/>
  <c r="X17" i="11" s="1"/>
  <c r="X18" i="11" s="1"/>
  <c r="X19" i="11" s="1"/>
  <c r="X20" i="11" s="1"/>
  <c r="X21" i="11" s="1"/>
  <c r="X22" i="11" s="1"/>
  <c r="X23" i="11" s="1"/>
  <c r="X24" i="11" s="1"/>
  <c r="X25" i="11" s="1"/>
  <c r="X26" i="11" s="1"/>
  <c r="X27" i="11" s="1"/>
  <c r="X28" i="11" s="1"/>
  <c r="X29" i="11" s="1"/>
  <c r="X30" i="11" s="1"/>
  <c r="X31" i="11" s="1"/>
  <c r="X32" i="11" s="1"/>
  <c r="X33" i="11" s="1"/>
  <c r="X34" i="11" s="1"/>
  <c r="X35" i="11" s="1"/>
  <c r="X36" i="11" s="1"/>
  <c r="X37" i="11" s="1"/>
  <c r="X38" i="11" s="1"/>
  <c r="X39" i="11" s="1"/>
  <c r="X40" i="11" s="1"/>
  <c r="X41" i="11" s="1"/>
  <c r="X42" i="11" s="1"/>
  <c r="X43" i="11" s="1"/>
  <c r="X44" i="11" s="1"/>
  <c r="X45" i="11" s="1"/>
  <c r="X46" i="11" s="1"/>
  <c r="X47" i="11" s="1"/>
  <c r="X48" i="11" s="1"/>
  <c r="X49" i="11" s="1"/>
  <c r="X50" i="11" s="1"/>
  <c r="X51" i="11" s="1"/>
  <c r="X52" i="11" s="1"/>
  <c r="X53" i="11" s="1"/>
  <c r="X54" i="11" s="1"/>
  <c r="X55" i="11" s="1"/>
  <c r="X56" i="11" s="1"/>
  <c r="X57" i="11" s="1"/>
  <c r="X58" i="11" s="1"/>
  <c r="X59" i="11" s="1"/>
  <c r="X60" i="11" s="1"/>
  <c r="X61" i="11" s="1"/>
  <c r="X62" i="11" s="1"/>
  <c r="X63" i="11" s="1"/>
  <c r="X64" i="11" s="1"/>
  <c r="X65" i="11" s="1"/>
  <c r="X66" i="11" s="1"/>
  <c r="X67" i="11" s="1"/>
  <c r="X68" i="11" s="1"/>
  <c r="X69" i="11" s="1"/>
  <c r="X70" i="11" s="1"/>
  <c r="X71" i="11" s="1"/>
  <c r="X72" i="11" s="1"/>
  <c r="X73" i="11" s="1"/>
  <c r="X74" i="11" s="1"/>
  <c r="X75" i="11" s="1"/>
  <c r="X76" i="11" s="1"/>
  <c r="X77" i="11" s="1"/>
  <c r="X78" i="11" s="1"/>
  <c r="X79" i="11" s="1"/>
  <c r="X80" i="11" s="1"/>
  <c r="X81" i="11" s="1"/>
  <c r="X82" i="11" s="1"/>
  <c r="X83" i="11" s="1"/>
  <c r="X84" i="11" s="1"/>
  <c r="X85" i="11" s="1"/>
  <c r="X86" i="11" s="1"/>
  <c r="X87" i="11" s="1"/>
  <c r="X88" i="11" s="1"/>
  <c r="X89" i="11" s="1"/>
  <c r="X90" i="11" s="1"/>
  <c r="X91" i="11" s="1"/>
  <c r="X92" i="11" s="1"/>
  <c r="X93" i="11" s="1"/>
  <c r="X94" i="11" s="1"/>
  <c r="X95" i="11" s="1"/>
  <c r="X96" i="11" s="1"/>
  <c r="X97" i="11" s="1"/>
  <c r="X98" i="11" s="1"/>
  <c r="X99" i="11" s="1"/>
  <c r="X100" i="11" s="1"/>
  <c r="X101" i="11" s="1"/>
  <c r="X102" i="11" s="1"/>
  <c r="X103" i="11" s="1"/>
  <c r="X104" i="11" s="1"/>
  <c r="X105" i="11" s="1"/>
  <c r="X106" i="11" s="1"/>
  <c r="X107" i="11" s="1"/>
  <c r="X108" i="11" s="1"/>
  <c r="Z8" i="11"/>
  <c r="Z9" i="11"/>
  <c r="Z10" i="11"/>
  <c r="Z11" i="11"/>
  <c r="Z12" i="11"/>
  <c r="Z13" i="11"/>
  <c r="Z14" i="11"/>
  <c r="Z15" i="11"/>
  <c r="Z16" i="11"/>
  <c r="Z17" i="11"/>
  <c r="Z18" i="11"/>
  <c r="Z19" i="11"/>
  <c r="Z20" i="11"/>
  <c r="Z21" i="11"/>
  <c r="Z22" i="11"/>
  <c r="Z23" i="11"/>
  <c r="Z24" i="11"/>
  <c r="Z25" i="11"/>
  <c r="Z26" i="11"/>
  <c r="Z27" i="11"/>
  <c r="Z28" i="11"/>
  <c r="Z29" i="11"/>
  <c r="Z30" i="11"/>
  <c r="Z31" i="11"/>
  <c r="Z32" i="11"/>
  <c r="Z33" i="11"/>
  <c r="Z34" i="11"/>
  <c r="Z35" i="11"/>
  <c r="Z36" i="11"/>
  <c r="Z37" i="11"/>
  <c r="Z38" i="11"/>
  <c r="Z39" i="11"/>
  <c r="Z40" i="11"/>
  <c r="Z41" i="11"/>
  <c r="Z42" i="11"/>
  <c r="Z43" i="11"/>
  <c r="Z44" i="11"/>
  <c r="Z45" i="11"/>
  <c r="Z46" i="11"/>
  <c r="Z47" i="11"/>
  <c r="Z48" i="11"/>
  <c r="Z49" i="11"/>
  <c r="Z50" i="11"/>
  <c r="Z51" i="11"/>
  <c r="Z52" i="11"/>
  <c r="Z53" i="11"/>
  <c r="Z54" i="11"/>
  <c r="Z55" i="11"/>
  <c r="Z56" i="11"/>
  <c r="Z57" i="11"/>
  <c r="Z58" i="11"/>
  <c r="Z59" i="11"/>
  <c r="Z60" i="11"/>
  <c r="Z61" i="11"/>
  <c r="Z62" i="11"/>
  <c r="Z63" i="11"/>
  <c r="Z64" i="11"/>
  <c r="Z65" i="11"/>
  <c r="Z66" i="11"/>
  <c r="Z67" i="11"/>
  <c r="Z68" i="11"/>
  <c r="Z69" i="11"/>
  <c r="Z70" i="11"/>
  <c r="Z71" i="11"/>
  <c r="Z72" i="11"/>
  <c r="Z73" i="11"/>
  <c r="Z74" i="11"/>
  <c r="Z75" i="11"/>
  <c r="Z76" i="11"/>
  <c r="Z77" i="11"/>
  <c r="Z78" i="11"/>
  <c r="Z79" i="11"/>
  <c r="Z80" i="11"/>
  <c r="Z81" i="11"/>
  <c r="Z82" i="11"/>
  <c r="Z83" i="11"/>
  <c r="Z84" i="11"/>
  <c r="Z85" i="11"/>
  <c r="Z86" i="11"/>
  <c r="Z87" i="11"/>
  <c r="Z88" i="11"/>
  <c r="Z89" i="11"/>
  <c r="Z90" i="11"/>
  <c r="Z91" i="11"/>
  <c r="Z92" i="11"/>
  <c r="Z93" i="11"/>
  <c r="Z94" i="11"/>
  <c r="Z95" i="11"/>
  <c r="Z96" i="11"/>
  <c r="Z97" i="11"/>
  <c r="Z98" i="11"/>
  <c r="Z99" i="11"/>
  <c r="Z100" i="11"/>
  <c r="Z101" i="11"/>
  <c r="Z102" i="11"/>
  <c r="Z103" i="11"/>
  <c r="Z104" i="11"/>
  <c r="Z105" i="11"/>
  <c r="Z106" i="11"/>
  <c r="Z107" i="11"/>
  <c r="Z108" i="11"/>
  <c r="Z7" i="11"/>
  <c r="N7" i="11"/>
  <c r="N8" i="11" s="1"/>
  <c r="N9" i="11" s="1"/>
  <c r="N10" i="11" s="1"/>
  <c r="N11" i="11" s="1"/>
  <c r="N12" i="11" s="1"/>
  <c r="N13" i="11" s="1"/>
  <c r="N14" i="11" s="1"/>
  <c r="N15" i="11" s="1"/>
  <c r="N16" i="11" s="1"/>
  <c r="N17" i="11" s="1"/>
  <c r="N18" i="11" s="1"/>
  <c r="N19" i="11" s="1"/>
  <c r="N20" i="11" s="1"/>
  <c r="N21" i="11" s="1"/>
  <c r="N22" i="11" s="1"/>
  <c r="N23" i="11" s="1"/>
  <c r="N24" i="11" s="1"/>
  <c r="N25" i="11" s="1"/>
  <c r="N26" i="11" s="1"/>
  <c r="N27" i="11" s="1"/>
  <c r="N28" i="11" s="1"/>
  <c r="N29" i="11" s="1"/>
  <c r="N30" i="11" s="1"/>
  <c r="N31" i="11" s="1"/>
  <c r="N32" i="11" s="1"/>
  <c r="N33" i="11" s="1"/>
  <c r="N34" i="11" s="1"/>
  <c r="N35" i="11" s="1"/>
  <c r="N36" i="11" s="1"/>
  <c r="N37" i="11" s="1"/>
  <c r="N38" i="11" s="1"/>
  <c r="N39" i="11" s="1"/>
  <c r="N40" i="11" s="1"/>
  <c r="N41" i="11" s="1"/>
  <c r="N42" i="11" s="1"/>
  <c r="N43" i="11" s="1"/>
  <c r="N44" i="11" s="1"/>
  <c r="N45" i="11" s="1"/>
  <c r="N46" i="11" s="1"/>
  <c r="N47" i="11" s="1"/>
  <c r="N48" i="11" s="1"/>
  <c r="N49" i="11" s="1"/>
  <c r="N50" i="11" s="1"/>
  <c r="N51" i="11" s="1"/>
  <c r="N52" i="11" s="1"/>
  <c r="N53" i="11" s="1"/>
  <c r="N54" i="11" s="1"/>
  <c r="N55" i="11" s="1"/>
  <c r="N56" i="11" s="1"/>
  <c r="N57" i="11" s="1"/>
  <c r="N58" i="11" s="1"/>
  <c r="N59" i="11" s="1"/>
  <c r="N60" i="11" s="1"/>
  <c r="N61" i="11" s="1"/>
  <c r="N62" i="11" s="1"/>
  <c r="N63" i="11" s="1"/>
  <c r="N64" i="11" s="1"/>
  <c r="N65" i="11" s="1"/>
  <c r="N66" i="11" s="1"/>
  <c r="N67" i="11" s="1"/>
  <c r="N68" i="11" s="1"/>
  <c r="N69" i="11" s="1"/>
  <c r="N70" i="11" s="1"/>
  <c r="N71" i="11" s="1"/>
  <c r="N72" i="11" s="1"/>
  <c r="N73" i="11" s="1"/>
  <c r="N74" i="11" s="1"/>
  <c r="N75" i="11" s="1"/>
  <c r="N76" i="11" s="1"/>
  <c r="N77" i="11" s="1"/>
  <c r="N78" i="11" s="1"/>
  <c r="N79" i="11" s="1"/>
  <c r="N80" i="11" s="1"/>
  <c r="N81" i="11" s="1"/>
  <c r="N82" i="11" s="1"/>
  <c r="N83" i="11" s="1"/>
  <c r="N84" i="11" s="1"/>
  <c r="N85" i="11" s="1"/>
  <c r="N86" i="11" s="1"/>
  <c r="N87" i="11" s="1"/>
  <c r="N88" i="11" s="1"/>
  <c r="N89" i="11" s="1"/>
  <c r="N90" i="11" s="1"/>
  <c r="N91" i="11" s="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M90" i="11"/>
  <c r="M91" i="11"/>
  <c r="M6" i="11"/>
  <c r="L5" i="9"/>
  <c r="AF5" i="9"/>
  <c r="AE6" i="9"/>
  <c r="AF6" i="9" s="1"/>
  <c r="AD6" i="9"/>
  <c r="AG6" i="9" s="1"/>
  <c r="AD7" i="9"/>
  <c r="AG7" i="9" s="1"/>
  <c r="AD8" i="9"/>
  <c r="AG8" i="9" s="1"/>
  <c r="AD9" i="9"/>
  <c r="AG9" i="9" s="1"/>
  <c r="AD10" i="9"/>
  <c r="AG10" i="9" s="1"/>
  <c r="AD11" i="9"/>
  <c r="AG11" i="9" s="1"/>
  <c r="AD12" i="9"/>
  <c r="AG12" i="9" s="1"/>
  <c r="AD13" i="9"/>
  <c r="AG13" i="9" s="1"/>
  <c r="AD14" i="9"/>
  <c r="AG14" i="9" s="1"/>
  <c r="AD15" i="9"/>
  <c r="AG15" i="9" s="1"/>
  <c r="AD16" i="9"/>
  <c r="AG16" i="9" s="1"/>
  <c r="AD17" i="9"/>
  <c r="AG17" i="9" s="1"/>
  <c r="AD18" i="9"/>
  <c r="AG18" i="9" s="1"/>
  <c r="AD19" i="9"/>
  <c r="AG19" i="9" s="1"/>
  <c r="AD20" i="9"/>
  <c r="AG20" i="9" s="1"/>
  <c r="AD21" i="9"/>
  <c r="AG21" i="9" s="1"/>
  <c r="AD22" i="9"/>
  <c r="AG22" i="9" s="1"/>
  <c r="AD23" i="9"/>
  <c r="AG23" i="9" s="1"/>
  <c r="AD24" i="9"/>
  <c r="AG24" i="9" s="1"/>
  <c r="AD25" i="9"/>
  <c r="AG25" i="9" s="1"/>
  <c r="AD26" i="9"/>
  <c r="AG26" i="9" s="1"/>
  <c r="AD27" i="9"/>
  <c r="AG27" i="9" s="1"/>
  <c r="AD28" i="9"/>
  <c r="AG28" i="9" s="1"/>
  <c r="AD29" i="9"/>
  <c r="AG29" i="9" s="1"/>
  <c r="AD30" i="9"/>
  <c r="AG30" i="9" s="1"/>
  <c r="AD31" i="9"/>
  <c r="AG31" i="9" s="1"/>
  <c r="AD32" i="9"/>
  <c r="AG32" i="9" s="1"/>
  <c r="AD33" i="9"/>
  <c r="AG33" i="9" s="1"/>
  <c r="AD34" i="9"/>
  <c r="AG34" i="9" s="1"/>
  <c r="AD35" i="9"/>
  <c r="AG35" i="9" s="1"/>
  <c r="AD36" i="9"/>
  <c r="AG36" i="9" s="1"/>
  <c r="AD37" i="9"/>
  <c r="AG37" i="9" s="1"/>
  <c r="AD38" i="9"/>
  <c r="AG38" i="9" s="1"/>
  <c r="AD39" i="9"/>
  <c r="AG39" i="9" s="1"/>
  <c r="AD40" i="9"/>
  <c r="AG40" i="9" s="1"/>
  <c r="AD41" i="9"/>
  <c r="AG41" i="9" s="1"/>
  <c r="AD42" i="9"/>
  <c r="AG42" i="9" s="1"/>
  <c r="AD43" i="9"/>
  <c r="AG43" i="9" s="1"/>
  <c r="AD44" i="9"/>
  <c r="AG44" i="9" s="1"/>
  <c r="AD45" i="9"/>
  <c r="AG45" i="9" s="1"/>
  <c r="AD46" i="9"/>
  <c r="AG46" i="9" s="1"/>
  <c r="AD47" i="9"/>
  <c r="AG47" i="9" s="1"/>
  <c r="AD48" i="9"/>
  <c r="AG48" i="9" s="1"/>
  <c r="AD49" i="9"/>
  <c r="AG49" i="9" s="1"/>
  <c r="AD50" i="9"/>
  <c r="AG50" i="9" s="1"/>
  <c r="AD51" i="9"/>
  <c r="AG51" i="9" s="1"/>
  <c r="AD52" i="9"/>
  <c r="AG52" i="9" s="1"/>
  <c r="AD53" i="9"/>
  <c r="AG53" i="9" s="1"/>
  <c r="AD54" i="9"/>
  <c r="AG54" i="9" s="1"/>
  <c r="AD55" i="9"/>
  <c r="AG55" i="9" s="1"/>
  <c r="AD56" i="9"/>
  <c r="AG56" i="9" s="1"/>
  <c r="AD57" i="9"/>
  <c r="AG57" i="9" s="1"/>
  <c r="AD58" i="9"/>
  <c r="AG58" i="9" s="1"/>
  <c r="AD59" i="9"/>
  <c r="AG59" i="9" s="1"/>
  <c r="AD60" i="9"/>
  <c r="AG60" i="9" s="1"/>
  <c r="AD61" i="9"/>
  <c r="AG61" i="9" s="1"/>
  <c r="AD62" i="9"/>
  <c r="AG62" i="9" s="1"/>
  <c r="AD63" i="9"/>
  <c r="AG63" i="9" s="1"/>
  <c r="AD64" i="9"/>
  <c r="AG64" i="9" s="1"/>
  <c r="AD65" i="9"/>
  <c r="AG65" i="9" s="1"/>
  <c r="AD66" i="9"/>
  <c r="AG66" i="9" s="1"/>
  <c r="AD67" i="9"/>
  <c r="AG67" i="9" s="1"/>
  <c r="AD68" i="9"/>
  <c r="AG68" i="9" s="1"/>
  <c r="AD69" i="9"/>
  <c r="AG69" i="9" s="1"/>
  <c r="AD70" i="9"/>
  <c r="AG70" i="9" s="1"/>
  <c r="AD71" i="9"/>
  <c r="AG71" i="9" s="1"/>
  <c r="AD72" i="9"/>
  <c r="AG72" i="9" s="1"/>
  <c r="AD73" i="9"/>
  <c r="AG73" i="9" s="1"/>
  <c r="AD74" i="9"/>
  <c r="AG74" i="9" s="1"/>
  <c r="AD75" i="9"/>
  <c r="AG75" i="9" s="1"/>
  <c r="AD76" i="9"/>
  <c r="AG76" i="9" s="1"/>
  <c r="AD77" i="9"/>
  <c r="AG77" i="9" s="1"/>
  <c r="AD78" i="9"/>
  <c r="AG78" i="9" s="1"/>
  <c r="AD79" i="9"/>
  <c r="AG79" i="9" s="1"/>
  <c r="AD80" i="9"/>
  <c r="AG80" i="9" s="1"/>
  <c r="AD81" i="9"/>
  <c r="AG81" i="9" s="1"/>
  <c r="AD82" i="9"/>
  <c r="AG82" i="9" s="1"/>
  <c r="AD83" i="9"/>
  <c r="AG83" i="9" s="1"/>
  <c r="AD84" i="9"/>
  <c r="AG84" i="9" s="1"/>
  <c r="AD85" i="9"/>
  <c r="AG85" i="9" s="1"/>
  <c r="AD86" i="9"/>
  <c r="AG86" i="9" s="1"/>
  <c r="AD87" i="9"/>
  <c r="AG87" i="9" s="1"/>
  <c r="AD88" i="9"/>
  <c r="AG88" i="9" s="1"/>
  <c r="AD89" i="9"/>
  <c r="AG89" i="9" s="1"/>
  <c r="AD90" i="9"/>
  <c r="AG90" i="9" s="1"/>
  <c r="AD91" i="9"/>
  <c r="AG91" i="9" s="1"/>
  <c r="AD92" i="9"/>
  <c r="AG92" i="9" s="1"/>
  <c r="AD93" i="9"/>
  <c r="AG93" i="9" s="1"/>
  <c r="AD94" i="9"/>
  <c r="AG94" i="9" s="1"/>
  <c r="AD95" i="9"/>
  <c r="AG95" i="9" s="1"/>
  <c r="AD96" i="9"/>
  <c r="AG96" i="9" s="1"/>
  <c r="AD97" i="9"/>
  <c r="AG97" i="9" s="1"/>
  <c r="AD98" i="9"/>
  <c r="AG98" i="9" s="1"/>
  <c r="AD99" i="9"/>
  <c r="AG99" i="9" s="1"/>
  <c r="AD100" i="9"/>
  <c r="AG100" i="9" s="1"/>
  <c r="AD5" i="9"/>
  <c r="AG5" i="9" s="1"/>
  <c r="N18" i="9"/>
  <c r="N20" i="9"/>
  <c r="N34" i="9"/>
  <c r="N36" i="9"/>
  <c r="N50" i="9"/>
  <c r="N52" i="9"/>
  <c r="N66" i="9"/>
  <c r="N68" i="9"/>
  <c r="N82" i="9"/>
  <c r="N84" i="9"/>
  <c r="N98" i="9"/>
  <c r="N100" i="9"/>
  <c r="O6" i="9"/>
  <c r="N6" i="9" s="1"/>
  <c r="O7" i="9"/>
  <c r="N7" i="9" s="1"/>
  <c r="O8" i="9"/>
  <c r="N8" i="9" s="1"/>
  <c r="O9" i="9"/>
  <c r="N9" i="9" s="1"/>
  <c r="O10" i="9"/>
  <c r="N10" i="9" s="1"/>
  <c r="O11" i="9"/>
  <c r="N11" i="9" s="1"/>
  <c r="O12" i="9"/>
  <c r="N12" i="9" s="1"/>
  <c r="O13" i="9"/>
  <c r="N13" i="9" s="1"/>
  <c r="O14" i="9"/>
  <c r="N14" i="9" s="1"/>
  <c r="O15" i="9"/>
  <c r="N15" i="9" s="1"/>
  <c r="O16" i="9"/>
  <c r="N16" i="9" s="1"/>
  <c r="O17" i="9"/>
  <c r="N17" i="9" s="1"/>
  <c r="O18" i="9"/>
  <c r="O19" i="9"/>
  <c r="N19" i="9" s="1"/>
  <c r="O20" i="9"/>
  <c r="O21" i="9"/>
  <c r="N21" i="9" s="1"/>
  <c r="O22" i="9"/>
  <c r="N22" i="9" s="1"/>
  <c r="O23" i="9"/>
  <c r="N23" i="9" s="1"/>
  <c r="O24" i="9"/>
  <c r="N24" i="9" s="1"/>
  <c r="O25" i="9"/>
  <c r="N25" i="9" s="1"/>
  <c r="O26" i="9"/>
  <c r="N26" i="9" s="1"/>
  <c r="O27" i="9"/>
  <c r="N27" i="9" s="1"/>
  <c r="O28" i="9"/>
  <c r="N28" i="9" s="1"/>
  <c r="O29" i="9"/>
  <c r="N29" i="9" s="1"/>
  <c r="O30" i="9"/>
  <c r="N30" i="9" s="1"/>
  <c r="O31" i="9"/>
  <c r="N31" i="9" s="1"/>
  <c r="O32" i="9"/>
  <c r="N32" i="9" s="1"/>
  <c r="O33" i="9"/>
  <c r="N33" i="9" s="1"/>
  <c r="O34" i="9"/>
  <c r="O35" i="9"/>
  <c r="N35" i="9" s="1"/>
  <c r="O36" i="9"/>
  <c r="O37" i="9"/>
  <c r="N37" i="9" s="1"/>
  <c r="O38" i="9"/>
  <c r="N38" i="9" s="1"/>
  <c r="O39" i="9"/>
  <c r="N39" i="9" s="1"/>
  <c r="O40" i="9"/>
  <c r="N40" i="9" s="1"/>
  <c r="O41" i="9"/>
  <c r="N41" i="9" s="1"/>
  <c r="O42" i="9"/>
  <c r="N42" i="9" s="1"/>
  <c r="O43" i="9"/>
  <c r="N43" i="9" s="1"/>
  <c r="O44" i="9"/>
  <c r="N44" i="9" s="1"/>
  <c r="O45" i="9"/>
  <c r="N45" i="9" s="1"/>
  <c r="O46" i="9"/>
  <c r="N46" i="9" s="1"/>
  <c r="O47" i="9"/>
  <c r="N47" i="9" s="1"/>
  <c r="O48" i="9"/>
  <c r="N48" i="9" s="1"/>
  <c r="O49" i="9"/>
  <c r="N49" i="9" s="1"/>
  <c r="O50" i="9"/>
  <c r="O51" i="9"/>
  <c r="N51" i="9" s="1"/>
  <c r="O52" i="9"/>
  <c r="O53" i="9"/>
  <c r="N53" i="9" s="1"/>
  <c r="O54" i="9"/>
  <c r="N54" i="9" s="1"/>
  <c r="O55" i="9"/>
  <c r="N55" i="9" s="1"/>
  <c r="O56" i="9"/>
  <c r="N56" i="9" s="1"/>
  <c r="O57" i="9"/>
  <c r="N57" i="9" s="1"/>
  <c r="O58" i="9"/>
  <c r="N58" i="9" s="1"/>
  <c r="O59" i="9"/>
  <c r="N59" i="9" s="1"/>
  <c r="O60" i="9"/>
  <c r="N60" i="9" s="1"/>
  <c r="O61" i="9"/>
  <c r="N61" i="9" s="1"/>
  <c r="O62" i="9"/>
  <c r="N62" i="9" s="1"/>
  <c r="O63" i="9"/>
  <c r="N63" i="9" s="1"/>
  <c r="O64" i="9"/>
  <c r="N64" i="9" s="1"/>
  <c r="O65" i="9"/>
  <c r="N65" i="9" s="1"/>
  <c r="O66" i="9"/>
  <c r="O67" i="9"/>
  <c r="N67" i="9" s="1"/>
  <c r="O68" i="9"/>
  <c r="O69" i="9"/>
  <c r="N69" i="9" s="1"/>
  <c r="O70" i="9"/>
  <c r="N70" i="9" s="1"/>
  <c r="O71" i="9"/>
  <c r="N71" i="9" s="1"/>
  <c r="O72" i="9"/>
  <c r="N72" i="9" s="1"/>
  <c r="O73" i="9"/>
  <c r="N73" i="9" s="1"/>
  <c r="O74" i="9"/>
  <c r="N74" i="9" s="1"/>
  <c r="O75" i="9"/>
  <c r="N75" i="9" s="1"/>
  <c r="O76" i="9"/>
  <c r="N76" i="9" s="1"/>
  <c r="O77" i="9"/>
  <c r="N77" i="9" s="1"/>
  <c r="O78" i="9"/>
  <c r="N78" i="9" s="1"/>
  <c r="O79" i="9"/>
  <c r="N79" i="9" s="1"/>
  <c r="O80" i="9"/>
  <c r="N80" i="9" s="1"/>
  <c r="O81" i="9"/>
  <c r="N81" i="9" s="1"/>
  <c r="O82" i="9"/>
  <c r="O83" i="9"/>
  <c r="N83" i="9" s="1"/>
  <c r="O84" i="9"/>
  <c r="O85" i="9"/>
  <c r="N85" i="9" s="1"/>
  <c r="O86" i="9"/>
  <c r="N86" i="9" s="1"/>
  <c r="O87" i="9"/>
  <c r="N87" i="9" s="1"/>
  <c r="O88" i="9"/>
  <c r="N88" i="9" s="1"/>
  <c r="O89" i="9"/>
  <c r="N89" i="9" s="1"/>
  <c r="O90" i="9"/>
  <c r="N90" i="9" s="1"/>
  <c r="O91" i="9"/>
  <c r="N91" i="9" s="1"/>
  <c r="O92" i="9"/>
  <c r="N92" i="9" s="1"/>
  <c r="O93" i="9"/>
  <c r="N93" i="9" s="1"/>
  <c r="O94" i="9"/>
  <c r="N94" i="9" s="1"/>
  <c r="O95" i="9"/>
  <c r="N95" i="9" s="1"/>
  <c r="O96" i="9"/>
  <c r="N96" i="9" s="1"/>
  <c r="O97" i="9"/>
  <c r="N97" i="9" s="1"/>
  <c r="O98" i="9"/>
  <c r="O99" i="9"/>
  <c r="N99" i="9" s="1"/>
  <c r="O100" i="9"/>
  <c r="O101" i="9"/>
  <c r="N101" i="9" s="1"/>
  <c r="O102" i="9"/>
  <c r="N102" i="9" s="1"/>
  <c r="O103" i="9"/>
  <c r="N103" i="9" s="1"/>
  <c r="O104" i="9"/>
  <c r="N104" i="9" s="1"/>
  <c r="O105" i="9"/>
  <c r="N105" i="9" s="1"/>
  <c r="O106" i="9"/>
  <c r="N106" i="9" s="1"/>
  <c r="O107" i="9"/>
  <c r="N107" i="9" s="1"/>
  <c r="O108" i="9"/>
  <c r="N108" i="9" s="1"/>
  <c r="O109" i="9"/>
  <c r="N109" i="9" s="1"/>
  <c r="O5" i="9"/>
  <c r="N5" i="9" s="1"/>
  <c r="M6" i="9"/>
  <c r="M7" i="9" s="1"/>
  <c r="M8" i="9" s="1"/>
  <c r="M9" i="9" s="1"/>
  <c r="M10" i="9" s="1"/>
  <c r="M11" i="9" s="1"/>
  <c r="M12" i="9" s="1"/>
  <c r="M13" i="9" s="1"/>
  <c r="M14" i="9" s="1"/>
  <c r="M15" i="9" s="1"/>
  <c r="M16" i="9" s="1"/>
  <c r="M17" i="9" s="1"/>
  <c r="M18" i="9" s="1"/>
  <c r="M19" i="9" s="1"/>
  <c r="M20" i="9" s="1"/>
  <c r="M21" i="9" s="1"/>
  <c r="M22" i="9" s="1"/>
  <c r="M23" i="9" s="1"/>
  <c r="M24" i="9" s="1"/>
  <c r="M25" i="9" s="1"/>
  <c r="M26" i="9" s="1"/>
  <c r="M27" i="9" s="1"/>
  <c r="M28" i="9" s="1"/>
  <c r="M29" i="9" s="1"/>
  <c r="M30" i="9" s="1"/>
  <c r="M31" i="9" s="1"/>
  <c r="M32" i="9" s="1"/>
  <c r="M33" i="9" s="1"/>
  <c r="M34" i="9" s="1"/>
  <c r="M35" i="9" s="1"/>
  <c r="M36" i="9" s="1"/>
  <c r="M37" i="9" s="1"/>
  <c r="M38" i="9" s="1"/>
  <c r="M39" i="9" s="1"/>
  <c r="M40" i="9" s="1"/>
  <c r="M41" i="9" s="1"/>
  <c r="M42" i="9" s="1"/>
  <c r="M43" i="9" s="1"/>
  <c r="M44" i="9" s="1"/>
  <c r="M45" i="9" s="1"/>
  <c r="M46" i="9" s="1"/>
  <c r="M47" i="9" s="1"/>
  <c r="M48" i="9" s="1"/>
  <c r="M49" i="9" s="1"/>
  <c r="M50" i="9" s="1"/>
  <c r="M51" i="9" s="1"/>
  <c r="M52" i="9" s="1"/>
  <c r="M53" i="9" s="1"/>
  <c r="M54" i="9" s="1"/>
  <c r="M55" i="9" s="1"/>
  <c r="M56" i="9" s="1"/>
  <c r="M57" i="9" s="1"/>
  <c r="M58" i="9" s="1"/>
  <c r="M59" i="9" s="1"/>
  <c r="M60" i="9" s="1"/>
  <c r="M61" i="9" s="1"/>
  <c r="M62" i="9" s="1"/>
  <c r="M63" i="9" s="1"/>
  <c r="M64" i="9" s="1"/>
  <c r="M65" i="9" s="1"/>
  <c r="M66" i="9" s="1"/>
  <c r="M67" i="9" s="1"/>
  <c r="M68" i="9" s="1"/>
  <c r="M69" i="9" s="1"/>
  <c r="M70" i="9" s="1"/>
  <c r="M71" i="9" s="1"/>
  <c r="M72" i="9" s="1"/>
  <c r="M73" i="9" s="1"/>
  <c r="M74" i="9" s="1"/>
  <c r="M75" i="9" s="1"/>
  <c r="M76" i="9" s="1"/>
  <c r="M77" i="9" s="1"/>
  <c r="M78" i="9" s="1"/>
  <c r="M79" i="9" s="1"/>
  <c r="M80" i="9" s="1"/>
  <c r="M81" i="9" s="1"/>
  <c r="M82" i="9" s="1"/>
  <c r="M83" i="9" s="1"/>
  <c r="M84" i="9" s="1"/>
  <c r="M85" i="9" s="1"/>
  <c r="M86" i="9" s="1"/>
  <c r="M87" i="9" s="1"/>
  <c r="M88" i="9" s="1"/>
  <c r="M89" i="9" s="1"/>
  <c r="M90" i="9" s="1"/>
  <c r="M91" i="9" s="1"/>
  <c r="M92" i="9" s="1"/>
  <c r="M93" i="9" s="1"/>
  <c r="M94" i="9" s="1"/>
  <c r="M95" i="9" s="1"/>
  <c r="M96" i="9" s="1"/>
  <c r="M97" i="9" s="1"/>
  <c r="M98" i="9" s="1"/>
  <c r="M99" i="9" s="1"/>
  <c r="M100" i="9" s="1"/>
  <c r="M101" i="9" s="1"/>
  <c r="M102" i="9" s="1"/>
  <c r="M103" i="9" s="1"/>
  <c r="M104" i="9" s="1"/>
  <c r="M105" i="9" s="1"/>
  <c r="M106" i="9" s="1"/>
  <c r="M107" i="9" s="1"/>
  <c r="M108" i="9" s="1"/>
  <c r="M109" i="9" s="1"/>
  <c r="L109" i="9" s="1"/>
  <c r="H3" i="23"/>
  <c r="H8" i="23"/>
  <c r="H7" i="23"/>
  <c r="L8" i="23"/>
  <c r="L7" i="23"/>
  <c r="L5" i="23"/>
  <c r="L4" i="23"/>
  <c r="L3" i="23"/>
  <c r="L2" i="23"/>
  <c r="L6" i="23"/>
  <c r="H6" i="23"/>
  <c r="H5" i="23"/>
  <c r="H4" i="23"/>
  <c r="C8" i="23"/>
  <c r="E8" i="23" s="1"/>
  <c r="C7" i="23"/>
  <c r="C6" i="23"/>
  <c r="E6" i="23" s="1"/>
  <c r="C5" i="23"/>
  <c r="C4" i="23"/>
  <c r="E4" i="23" s="1"/>
  <c r="B8" i="23"/>
  <c r="B7" i="23"/>
  <c r="D7" i="23" s="1"/>
  <c r="B6" i="23"/>
  <c r="B5" i="23"/>
  <c r="D5" i="23" s="1"/>
  <c r="B4" i="23"/>
  <c r="D2" i="23"/>
  <c r="L107" i="23"/>
  <c r="J107" i="23"/>
  <c r="I107" i="23"/>
  <c r="H107" i="23"/>
  <c r="L106" i="23"/>
  <c r="J106" i="23"/>
  <c r="I106" i="23"/>
  <c r="H106" i="23"/>
  <c r="L105" i="23"/>
  <c r="J105" i="23"/>
  <c r="I105" i="23"/>
  <c r="H105" i="23"/>
  <c r="L104" i="23"/>
  <c r="J104" i="23"/>
  <c r="I104" i="23"/>
  <c r="H104" i="23"/>
  <c r="C107" i="23"/>
  <c r="E107" i="23" s="1"/>
  <c r="C106" i="23"/>
  <c r="C105" i="23"/>
  <c r="E106" i="23"/>
  <c r="C104" i="23"/>
  <c r="E104" i="23" s="1"/>
  <c r="B107" i="23"/>
  <c r="D107" i="23" s="1"/>
  <c r="B106" i="23"/>
  <c r="D106" i="23" s="1"/>
  <c r="B105" i="23"/>
  <c r="B104" i="23"/>
  <c r="D104" i="23" s="1"/>
  <c r="E105" i="23"/>
  <c r="D105" i="23"/>
  <c r="L102" i="23"/>
  <c r="J102" i="23"/>
  <c r="I102" i="23"/>
  <c r="H102" i="23"/>
  <c r="L101" i="23"/>
  <c r="J101" i="23"/>
  <c r="I101" i="23"/>
  <c r="H101" i="23"/>
  <c r="J100" i="23"/>
  <c r="I100" i="23"/>
  <c r="L100" i="23"/>
  <c r="H100" i="23"/>
  <c r="C102" i="23"/>
  <c r="E102" i="23" s="1"/>
  <c r="C101" i="23"/>
  <c r="E101" i="23" s="1"/>
  <c r="C100" i="23"/>
  <c r="E100" i="23" s="1"/>
  <c r="B102" i="23"/>
  <c r="D102" i="23" s="1"/>
  <c r="B101" i="23"/>
  <c r="D101" i="23" s="1"/>
  <c r="B100" i="23"/>
  <c r="D100" i="23" s="1"/>
  <c r="J98" i="23"/>
  <c r="I98" i="23"/>
  <c r="H98" i="23"/>
  <c r="L98" i="23"/>
  <c r="L97" i="23"/>
  <c r="J97" i="23"/>
  <c r="I97" i="23"/>
  <c r="H97" i="23"/>
  <c r="G97" i="23"/>
  <c r="C98" i="23"/>
  <c r="E98" i="23" s="1"/>
  <c r="C97" i="23"/>
  <c r="E97" i="23" s="1"/>
  <c r="B98" i="23"/>
  <c r="D98" i="23" s="1"/>
  <c r="B97" i="23"/>
  <c r="D97" i="23" s="1"/>
  <c r="J95" i="23"/>
  <c r="I95" i="23"/>
  <c r="H95" i="23"/>
  <c r="G95" i="23"/>
  <c r="J94" i="23"/>
  <c r="I94" i="23"/>
  <c r="H94" i="23"/>
  <c r="J93" i="23"/>
  <c r="I93" i="23"/>
  <c r="H93" i="23"/>
  <c r="J92" i="23"/>
  <c r="I92" i="23"/>
  <c r="H92" i="23"/>
  <c r="J91" i="23"/>
  <c r="I91" i="23"/>
  <c r="H91" i="23"/>
  <c r="G91" i="23"/>
  <c r="C95" i="23"/>
  <c r="E95" i="23" s="1"/>
  <c r="C94" i="23"/>
  <c r="E94" i="23" s="1"/>
  <c r="C93" i="23"/>
  <c r="E93" i="23" s="1"/>
  <c r="C92" i="23"/>
  <c r="E92" i="23" s="1"/>
  <c r="B95" i="23"/>
  <c r="D95" i="23" s="1"/>
  <c r="B94" i="23"/>
  <c r="D94" i="23" s="1"/>
  <c r="B93" i="23"/>
  <c r="D93" i="23" s="1"/>
  <c r="B92" i="23"/>
  <c r="D92" i="23" s="1"/>
  <c r="J90" i="23"/>
  <c r="I90" i="23"/>
  <c r="H90" i="23"/>
  <c r="J89" i="23"/>
  <c r="I89" i="23"/>
  <c r="H89" i="23"/>
  <c r="G89" i="23"/>
  <c r="J88" i="23"/>
  <c r="I88" i="23"/>
  <c r="H88" i="23"/>
  <c r="J87" i="23"/>
  <c r="I87" i="23"/>
  <c r="H87" i="23"/>
  <c r="G87" i="23"/>
  <c r="J86" i="23"/>
  <c r="I86" i="23"/>
  <c r="H86" i="23"/>
  <c r="J85" i="23"/>
  <c r="I85" i="23"/>
  <c r="I96" i="23" s="1"/>
  <c r="H85" i="23"/>
  <c r="G85" i="23"/>
  <c r="L95" i="23"/>
  <c r="L94" i="23"/>
  <c r="L93" i="23"/>
  <c r="L92" i="23"/>
  <c r="L90" i="23"/>
  <c r="L89" i="23"/>
  <c r="L88" i="23"/>
  <c r="L87" i="23"/>
  <c r="L86" i="23"/>
  <c r="L85" i="23"/>
  <c r="C91" i="23"/>
  <c r="E91" i="23" s="1"/>
  <c r="C90" i="23"/>
  <c r="E90" i="23" s="1"/>
  <c r="C89" i="23"/>
  <c r="E89" i="23" s="1"/>
  <c r="C88" i="23"/>
  <c r="E88" i="23" s="1"/>
  <c r="C87" i="23"/>
  <c r="C86" i="23"/>
  <c r="E86" i="23" s="1"/>
  <c r="E87" i="23"/>
  <c r="B91" i="23"/>
  <c r="D91" i="23" s="1"/>
  <c r="B90" i="23"/>
  <c r="D90" i="23" s="1"/>
  <c r="B89" i="23"/>
  <c r="D89" i="23" s="1"/>
  <c r="B88" i="23"/>
  <c r="D88" i="23" s="1"/>
  <c r="B87" i="23"/>
  <c r="D87" i="23" s="1"/>
  <c r="B86" i="23"/>
  <c r="D86" i="23" s="1"/>
  <c r="C85" i="23"/>
  <c r="E85" i="23" s="1"/>
  <c r="B85" i="23"/>
  <c r="D85" i="23" s="1"/>
  <c r="L82" i="23"/>
  <c r="J82" i="23"/>
  <c r="I82" i="23"/>
  <c r="H82" i="23"/>
  <c r="L81" i="23"/>
  <c r="J81" i="23"/>
  <c r="I81" i="23"/>
  <c r="H81" i="23"/>
  <c r="C82" i="23"/>
  <c r="E82" i="23" s="1"/>
  <c r="C81" i="23"/>
  <c r="E81" i="23" s="1"/>
  <c r="C80" i="23"/>
  <c r="E80" i="23" s="1"/>
  <c r="B82" i="23"/>
  <c r="B81" i="23"/>
  <c r="D81" i="23" s="1"/>
  <c r="D82" i="23"/>
  <c r="L80" i="23"/>
  <c r="J80" i="23"/>
  <c r="I80" i="23"/>
  <c r="H80" i="23"/>
  <c r="L79" i="23"/>
  <c r="J79" i="23"/>
  <c r="I79" i="23"/>
  <c r="H79" i="23"/>
  <c r="L78" i="23"/>
  <c r="J78" i="23"/>
  <c r="I78" i="23"/>
  <c r="H78" i="23"/>
  <c r="C79" i="23"/>
  <c r="C78" i="23"/>
  <c r="E78" i="23" s="1"/>
  <c r="B80" i="23"/>
  <c r="D80" i="23" s="1"/>
  <c r="B79" i="23"/>
  <c r="D79" i="23" s="1"/>
  <c r="B78" i="23"/>
  <c r="D78" i="23" s="1"/>
  <c r="L76" i="23"/>
  <c r="J76" i="23"/>
  <c r="I76" i="23"/>
  <c r="H76" i="23"/>
  <c r="G76" i="23"/>
  <c r="C76" i="23"/>
  <c r="E76" i="23" s="1"/>
  <c r="B76" i="23"/>
  <c r="D76" i="23" s="1"/>
  <c r="D25" i="18"/>
  <c r="L75" i="23"/>
  <c r="J75" i="23"/>
  <c r="I75" i="23"/>
  <c r="H75" i="23"/>
  <c r="G75" i="23"/>
  <c r="C47" i="18"/>
  <c r="J56" i="23"/>
  <c r="I56" i="23"/>
  <c r="H56" i="23"/>
  <c r="G56" i="23"/>
  <c r="J55" i="23"/>
  <c r="I55" i="23"/>
  <c r="H55" i="23"/>
  <c r="G55" i="23"/>
  <c r="J54" i="23"/>
  <c r="I54" i="23"/>
  <c r="H54" i="23"/>
  <c r="G54" i="23"/>
  <c r="C56" i="23"/>
  <c r="E56" i="23" s="1"/>
  <c r="C55" i="23"/>
  <c r="E55" i="23" s="1"/>
  <c r="C54" i="23"/>
  <c r="E54" i="23" s="1"/>
  <c r="B56" i="23"/>
  <c r="D56" i="23" s="1"/>
  <c r="B55" i="23"/>
  <c r="D55" i="23" s="1"/>
  <c r="B54" i="23"/>
  <c r="D54" i="23" s="1"/>
  <c r="C75" i="23"/>
  <c r="E75" i="23" s="1"/>
  <c r="B75" i="23"/>
  <c r="D75" i="23" s="1"/>
  <c r="L74" i="23"/>
  <c r="J74" i="23"/>
  <c r="I74" i="23"/>
  <c r="H74" i="23"/>
  <c r="E79" i="23"/>
  <c r="C74" i="23"/>
  <c r="E74" i="23" s="1"/>
  <c r="B74" i="23"/>
  <c r="D74" i="23" s="1"/>
  <c r="D84" i="16"/>
  <c r="D86" i="16"/>
  <c r="D87" i="16"/>
  <c r="D88" i="16"/>
  <c r="L72" i="23"/>
  <c r="J72" i="23"/>
  <c r="I72" i="23"/>
  <c r="H72" i="23"/>
  <c r="C72" i="23"/>
  <c r="B72" i="23"/>
  <c r="D72" i="23" s="1"/>
  <c r="L71" i="23"/>
  <c r="J71" i="23"/>
  <c r="I71" i="23"/>
  <c r="H71" i="23"/>
  <c r="G71" i="23"/>
  <c r="C71" i="23"/>
  <c r="E71" i="23" s="1"/>
  <c r="B71" i="23"/>
  <c r="D71" i="23" s="1"/>
  <c r="J69" i="23"/>
  <c r="I69" i="23"/>
  <c r="H69" i="23"/>
  <c r="C69" i="23"/>
  <c r="E69" i="23" s="1"/>
  <c r="J68" i="23"/>
  <c r="I68" i="23"/>
  <c r="H68" i="23"/>
  <c r="C68" i="23"/>
  <c r="E68" i="23" s="1"/>
  <c r="E72" i="23"/>
  <c r="J67" i="23"/>
  <c r="I67" i="23"/>
  <c r="H67" i="23"/>
  <c r="B69" i="23"/>
  <c r="D69" i="23" s="1"/>
  <c r="B68" i="23"/>
  <c r="D68" i="23" s="1"/>
  <c r="J66" i="23"/>
  <c r="I66" i="23"/>
  <c r="H66" i="23"/>
  <c r="J65" i="23"/>
  <c r="I65" i="23"/>
  <c r="H65" i="23"/>
  <c r="C67" i="23"/>
  <c r="E67" i="23" s="1"/>
  <c r="C66" i="23"/>
  <c r="E66" i="23" s="1"/>
  <c r="C65" i="23"/>
  <c r="E65" i="23" s="1"/>
  <c r="B67" i="23"/>
  <c r="D67" i="23" s="1"/>
  <c r="B66" i="23"/>
  <c r="D66" i="23" s="1"/>
  <c r="B65" i="23"/>
  <c r="D65" i="23" s="1"/>
  <c r="L64" i="23"/>
  <c r="J64" i="23"/>
  <c r="I64" i="23"/>
  <c r="H64" i="23"/>
  <c r="C64" i="23"/>
  <c r="B64" i="23"/>
  <c r="D64" i="23" s="1"/>
  <c r="J62" i="23"/>
  <c r="I62" i="23"/>
  <c r="H62" i="23"/>
  <c r="L62" i="23"/>
  <c r="C62" i="23"/>
  <c r="E62" i="23" s="1"/>
  <c r="B62" i="23"/>
  <c r="D62" i="23" s="1"/>
  <c r="J61" i="23"/>
  <c r="I61" i="23"/>
  <c r="H61" i="23"/>
  <c r="L61" i="23"/>
  <c r="C61" i="23"/>
  <c r="E61" i="23" s="1"/>
  <c r="B61" i="23"/>
  <c r="D61" i="23" s="1"/>
  <c r="J60" i="23"/>
  <c r="I60" i="23"/>
  <c r="H60" i="23"/>
  <c r="L60" i="23"/>
  <c r="C60" i="23"/>
  <c r="E60" i="23" s="1"/>
  <c r="B60" i="23"/>
  <c r="D60" i="23" s="1"/>
  <c r="L59" i="23"/>
  <c r="J59" i="23"/>
  <c r="H59" i="23"/>
  <c r="I59" i="23"/>
  <c r="C59" i="23"/>
  <c r="E59" i="23" s="1"/>
  <c r="B59" i="23"/>
  <c r="D59" i="23" s="1"/>
  <c r="J58" i="23"/>
  <c r="H58" i="23"/>
  <c r="E64" i="23"/>
  <c r="L58" i="23"/>
  <c r="C58" i="23"/>
  <c r="E58" i="23" s="1"/>
  <c r="B58" i="23"/>
  <c r="D58" i="23" s="1"/>
  <c r="L53" i="23"/>
  <c r="J53" i="23"/>
  <c r="I53" i="23"/>
  <c r="H53" i="23"/>
  <c r="C53" i="23"/>
  <c r="E53" i="23" s="1"/>
  <c r="B53" i="23"/>
  <c r="D53" i="23" s="1"/>
  <c r="L52" i="23"/>
  <c r="J52" i="23"/>
  <c r="I52" i="23"/>
  <c r="H52" i="23"/>
  <c r="G52" i="23"/>
  <c r="C52" i="23"/>
  <c r="B52" i="23"/>
  <c r="D52" i="23" s="1"/>
  <c r="L47" i="23"/>
  <c r="J47" i="23"/>
  <c r="I47" i="23"/>
  <c r="H47" i="23"/>
  <c r="C47" i="23"/>
  <c r="E47" i="23" s="1"/>
  <c r="B47" i="23"/>
  <c r="L46" i="23"/>
  <c r="J46" i="23"/>
  <c r="I46" i="23"/>
  <c r="H46" i="23"/>
  <c r="C46" i="23"/>
  <c r="E46" i="23" s="1"/>
  <c r="B46" i="23"/>
  <c r="D46" i="23" s="1"/>
  <c r="J45" i="23"/>
  <c r="I45" i="23"/>
  <c r="H45" i="23"/>
  <c r="L45" i="23"/>
  <c r="C45" i="23"/>
  <c r="E45" i="23" s="1"/>
  <c r="B45" i="23"/>
  <c r="D45" i="23" s="1"/>
  <c r="L44" i="23"/>
  <c r="J44" i="23"/>
  <c r="I44" i="23"/>
  <c r="H44" i="23"/>
  <c r="C44" i="23"/>
  <c r="E44" i="23" s="1"/>
  <c r="B44" i="23"/>
  <c r="D44" i="23" s="1"/>
  <c r="J43" i="23"/>
  <c r="I43" i="23"/>
  <c r="L43" i="23"/>
  <c r="H43" i="23"/>
  <c r="C43" i="23"/>
  <c r="E43" i="23" s="1"/>
  <c r="B43" i="23"/>
  <c r="D43" i="23" s="1"/>
  <c r="J41" i="23"/>
  <c r="I41" i="23"/>
  <c r="L41" i="23"/>
  <c r="H41" i="23"/>
  <c r="C41" i="23"/>
  <c r="E41" i="23" s="1"/>
  <c r="B41" i="23"/>
  <c r="D41" i="23" s="1"/>
  <c r="B40" i="23"/>
  <c r="D40" i="23" s="1"/>
  <c r="L40" i="23"/>
  <c r="J40" i="23"/>
  <c r="I40" i="23"/>
  <c r="H40" i="23"/>
  <c r="C40" i="23"/>
  <c r="E40" i="23" s="1"/>
  <c r="J39" i="23"/>
  <c r="I39" i="23"/>
  <c r="H39" i="23"/>
  <c r="L39" i="23"/>
  <c r="C39" i="23"/>
  <c r="B39" i="23"/>
  <c r="D39" i="23" s="1"/>
  <c r="L38" i="23"/>
  <c r="J38" i="23"/>
  <c r="I38" i="23"/>
  <c r="H38" i="23"/>
  <c r="C38" i="23"/>
  <c r="B38" i="23"/>
  <c r="D38" i="23" s="1"/>
  <c r="L37" i="23"/>
  <c r="J37" i="23"/>
  <c r="I37" i="23"/>
  <c r="H37" i="23"/>
  <c r="C37" i="23"/>
  <c r="B37" i="23"/>
  <c r="D37" i="23" s="1"/>
  <c r="J36" i="23"/>
  <c r="I36" i="23"/>
  <c r="H36" i="23"/>
  <c r="G36" i="23"/>
  <c r="L36" i="23"/>
  <c r="C36" i="23"/>
  <c r="E36" i="23" s="1"/>
  <c r="L34" i="23"/>
  <c r="J34" i="23"/>
  <c r="I34" i="23"/>
  <c r="H34" i="23"/>
  <c r="C34" i="23"/>
  <c r="E34" i="23" s="1"/>
  <c r="B34" i="23"/>
  <c r="D34" i="23" s="1"/>
  <c r="L32" i="23"/>
  <c r="J32" i="23"/>
  <c r="I32" i="23"/>
  <c r="H32" i="23"/>
  <c r="G32" i="23"/>
  <c r="L31" i="23"/>
  <c r="J31" i="23"/>
  <c r="I31" i="23"/>
  <c r="H31" i="23"/>
  <c r="L30" i="23"/>
  <c r="J30" i="23"/>
  <c r="I30" i="23"/>
  <c r="H30" i="23"/>
  <c r="G30" i="23"/>
  <c r="C32" i="23"/>
  <c r="E32" i="23" s="1"/>
  <c r="B32" i="23"/>
  <c r="D32" i="23" s="1"/>
  <c r="C31" i="23"/>
  <c r="B31" i="23"/>
  <c r="D31" i="23" s="1"/>
  <c r="C30" i="23"/>
  <c r="B30" i="23"/>
  <c r="D30" i="23" s="1"/>
  <c r="E30" i="23"/>
  <c r="E31" i="23"/>
  <c r="E37" i="23"/>
  <c r="E38" i="23"/>
  <c r="E39" i="23"/>
  <c r="E52" i="23"/>
  <c r="D36" i="23"/>
  <c r="D47" i="23"/>
  <c r="J29" i="23"/>
  <c r="I29" i="23"/>
  <c r="H29" i="23"/>
  <c r="J27" i="23"/>
  <c r="I27" i="23"/>
  <c r="H27" i="23"/>
  <c r="J26" i="23"/>
  <c r="I26" i="23"/>
  <c r="H26" i="23"/>
  <c r="J25" i="23"/>
  <c r="I25" i="23"/>
  <c r="H25" i="23"/>
  <c r="L25" i="23"/>
  <c r="C27" i="23"/>
  <c r="E27" i="23" s="1"/>
  <c r="C26" i="23"/>
  <c r="E26" i="23" s="1"/>
  <c r="C25" i="23"/>
  <c r="E25" i="23" s="1"/>
  <c r="C29" i="23"/>
  <c r="E29" i="23" s="1"/>
  <c r="B29" i="23"/>
  <c r="D29" i="23" s="1"/>
  <c r="B27" i="23"/>
  <c r="D27" i="23" s="1"/>
  <c r="B26" i="23"/>
  <c r="B25" i="23"/>
  <c r="D25" i="23" s="1"/>
  <c r="D26" i="23"/>
  <c r="L24" i="23"/>
  <c r="J24" i="23"/>
  <c r="I24" i="23"/>
  <c r="H24" i="23"/>
  <c r="C24" i="23"/>
  <c r="E24" i="23" s="1"/>
  <c r="B24" i="23"/>
  <c r="D24" i="23" s="1"/>
  <c r="L23" i="23"/>
  <c r="J23" i="23"/>
  <c r="I23" i="23"/>
  <c r="H23" i="23"/>
  <c r="G23" i="23"/>
  <c r="C23" i="23"/>
  <c r="E23" i="23" s="1"/>
  <c r="B23" i="23"/>
  <c r="D23" i="23" s="1"/>
  <c r="L22" i="23"/>
  <c r="J22" i="23"/>
  <c r="I22" i="23"/>
  <c r="H22" i="23"/>
  <c r="G22" i="23"/>
  <c r="C22" i="23"/>
  <c r="E22" i="23" s="1"/>
  <c r="B22" i="23"/>
  <c r="D22" i="23" s="1"/>
  <c r="L20" i="23"/>
  <c r="J20" i="23"/>
  <c r="I20" i="23"/>
  <c r="C20" i="23"/>
  <c r="B20" i="23"/>
  <c r="D20" i="23" s="1"/>
  <c r="L19" i="23"/>
  <c r="I19" i="23"/>
  <c r="H19" i="23"/>
  <c r="C19" i="23"/>
  <c r="B19" i="23"/>
  <c r="D19" i="23" s="1"/>
  <c r="E19" i="23"/>
  <c r="E20" i="23"/>
  <c r="H18" i="23"/>
  <c r="L18" i="23"/>
  <c r="C18" i="23"/>
  <c r="E18" i="23" s="1"/>
  <c r="B18" i="23"/>
  <c r="D18" i="23" s="1"/>
  <c r="H15" i="23"/>
  <c r="L15" i="23"/>
  <c r="C15" i="23"/>
  <c r="E15" i="23" s="1"/>
  <c r="B15" i="23"/>
  <c r="D15" i="23" s="1"/>
  <c r="H14" i="23"/>
  <c r="L14" i="23"/>
  <c r="C14" i="23"/>
  <c r="E14" i="23" s="1"/>
  <c r="B14" i="23"/>
  <c r="D14" i="23" s="1"/>
  <c r="H12" i="23"/>
  <c r="H11" i="23"/>
  <c r="C12" i="23"/>
  <c r="E12" i="23" s="1"/>
  <c r="C11" i="23"/>
  <c r="E11" i="23" s="1"/>
  <c r="B12" i="23"/>
  <c r="D12" i="23" s="1"/>
  <c r="B11" i="23"/>
  <c r="D11" i="23" s="1"/>
  <c r="L12" i="23"/>
  <c r="L11" i="23"/>
  <c r="E7" i="23"/>
  <c r="D8" i="23"/>
  <c r="D6" i="23"/>
  <c r="E5" i="23"/>
  <c r="D4" i="23"/>
  <c r="E3" i="23"/>
  <c r="D3" i="23"/>
  <c r="E2" i="23"/>
  <c r="G67" i="17"/>
  <c r="G41" i="23" s="1"/>
  <c r="G72" i="19"/>
  <c r="G102" i="23" s="1"/>
  <c r="C36" i="22"/>
  <c r="G72" i="23" s="1"/>
  <c r="G32" i="11"/>
  <c r="G69" i="23" s="1"/>
  <c r="F47" i="11"/>
  <c r="G68" i="23" s="1"/>
  <c r="E110" i="11"/>
  <c r="G67" i="23" s="1"/>
  <c r="B31" i="22"/>
  <c r="D58" i="8"/>
  <c r="E66" i="15"/>
  <c r="G107" i="23" s="1"/>
  <c r="F27" i="17"/>
  <c r="G40" i="23" s="1"/>
  <c r="E32" i="17"/>
  <c r="G39" i="23" s="1"/>
  <c r="H27" i="9"/>
  <c r="G47" i="23" s="1"/>
  <c r="D67" i="9"/>
  <c r="G45" i="23" s="1"/>
  <c r="F23" i="9"/>
  <c r="G46" i="23" s="1"/>
  <c r="C45" i="9"/>
  <c r="G44" i="23" s="1"/>
  <c r="G49" i="23" s="1"/>
  <c r="D38" i="17"/>
  <c r="G38" i="23" s="1"/>
  <c r="D71" i="15"/>
  <c r="G106" i="23" s="1"/>
  <c r="F59" i="19"/>
  <c r="G101" i="23" s="1"/>
  <c r="L31" i="21"/>
  <c r="C60" i="15"/>
  <c r="G105" i="23" s="1"/>
  <c r="K25" i="21"/>
  <c r="G94" i="23" s="1"/>
  <c r="J31" i="21"/>
  <c r="G93" i="23" s="1"/>
  <c r="I57" i="21"/>
  <c r="G92" i="23" s="1"/>
  <c r="H26" i="21"/>
  <c r="G15" i="21"/>
  <c r="G90" i="23" s="1"/>
  <c r="F36" i="21"/>
  <c r="E57" i="21"/>
  <c r="G88" i="23" s="1"/>
  <c r="D36" i="21"/>
  <c r="E60" i="19"/>
  <c r="G100" i="23" s="1"/>
  <c r="C57" i="21"/>
  <c r="G86" i="23" s="1"/>
  <c r="B35" i="21"/>
  <c r="D26" i="11"/>
  <c r="G66" i="23" s="1"/>
  <c r="C26" i="11"/>
  <c r="G65" i="23" s="1"/>
  <c r="F47" i="20"/>
  <c r="G82" i="23" s="1"/>
  <c r="E40" i="20"/>
  <c r="G81" i="23" s="1"/>
  <c r="D25" i="20"/>
  <c r="G80" i="23" s="1"/>
  <c r="C21" i="20"/>
  <c r="G79" i="23" s="1"/>
  <c r="B21" i="20"/>
  <c r="G78" i="23" s="1"/>
  <c r="C41" i="19"/>
  <c r="G98" i="23" s="1"/>
  <c r="C65" i="18"/>
  <c r="C64" i="18"/>
  <c r="B39" i="19"/>
  <c r="B37" i="18"/>
  <c r="G74" i="23" s="1"/>
  <c r="G77" i="23" s="1"/>
  <c r="C38" i="17"/>
  <c r="G37" i="23" s="1"/>
  <c r="B38" i="17"/>
  <c r="C19" i="16"/>
  <c r="G53" i="23" s="1"/>
  <c r="B22" i="15"/>
  <c r="G104" i="23" s="1"/>
  <c r="F66" i="12"/>
  <c r="G62" i="23" s="1"/>
  <c r="D111" i="12"/>
  <c r="G60" i="23" s="1"/>
  <c r="E21" i="12"/>
  <c r="G61" i="23" s="1"/>
  <c r="H8" i="14"/>
  <c r="H9" i="14"/>
  <c r="H10" i="14" s="1"/>
  <c r="G8" i="14"/>
  <c r="G9" i="14"/>
  <c r="G7" i="14"/>
  <c r="J84" i="14"/>
  <c r="K84" i="14" s="1"/>
  <c r="J85" i="14"/>
  <c r="K85" i="14" s="1"/>
  <c r="J67" i="14"/>
  <c r="K67" i="14" s="1"/>
  <c r="J81" i="14"/>
  <c r="K81" i="14" s="1"/>
  <c r="J86" i="14"/>
  <c r="K86" i="14" s="1"/>
  <c r="J71" i="14"/>
  <c r="K71" i="14" s="1"/>
  <c r="J68" i="14"/>
  <c r="K68" i="14" s="1"/>
  <c r="J49" i="14"/>
  <c r="K49" i="14" s="1"/>
  <c r="J76" i="14"/>
  <c r="K76" i="14" s="1"/>
  <c r="J99" i="14"/>
  <c r="K99" i="14" s="1"/>
  <c r="J74" i="14"/>
  <c r="K74" i="14" s="1"/>
  <c r="J69" i="14"/>
  <c r="K69" i="14" s="1"/>
  <c r="J30" i="14"/>
  <c r="K30" i="14" s="1"/>
  <c r="J93" i="14"/>
  <c r="K93" i="14" s="1"/>
  <c r="J89" i="14"/>
  <c r="K89" i="14" s="1"/>
  <c r="J52" i="14"/>
  <c r="K52" i="14" s="1"/>
  <c r="J98" i="14"/>
  <c r="K98" i="14" s="1"/>
  <c r="J94" i="14"/>
  <c r="K94" i="14" s="1"/>
  <c r="J31" i="14"/>
  <c r="K31" i="14" s="1"/>
  <c r="J37" i="14"/>
  <c r="K37" i="14" s="1"/>
  <c r="J41" i="14"/>
  <c r="K41" i="14" s="1"/>
  <c r="J50" i="14"/>
  <c r="K50" i="14" s="1"/>
  <c r="J13" i="14"/>
  <c r="K13" i="14" s="1"/>
  <c r="J42" i="14"/>
  <c r="K42" i="14" s="1"/>
  <c r="J47" i="14"/>
  <c r="K47" i="14" s="1"/>
  <c r="J53" i="14"/>
  <c r="K53" i="14" s="1"/>
  <c r="J11" i="14"/>
  <c r="K11" i="14" s="1"/>
  <c r="J38" i="14"/>
  <c r="K38" i="14" s="1"/>
  <c r="J60" i="14"/>
  <c r="K60" i="14" s="1"/>
  <c r="J18" i="14"/>
  <c r="K18" i="14" s="1"/>
  <c r="J102" i="14"/>
  <c r="K102" i="14" s="1"/>
  <c r="J75" i="14"/>
  <c r="K75" i="14" s="1"/>
  <c r="J21" i="14"/>
  <c r="K21" i="14" s="1"/>
  <c r="J48" i="14"/>
  <c r="K48" i="14" s="1"/>
  <c r="J32" i="14"/>
  <c r="K32" i="14" s="1"/>
  <c r="J77" i="14"/>
  <c r="K77" i="14" s="1"/>
  <c r="J82" i="14"/>
  <c r="K82" i="14" s="1"/>
  <c r="J78" i="14"/>
  <c r="K78" i="14" s="1"/>
  <c r="J61" i="14"/>
  <c r="K61" i="14" s="1"/>
  <c r="J54" i="14"/>
  <c r="K54" i="14" s="1"/>
  <c r="J33" i="14"/>
  <c r="K33" i="14" s="1"/>
  <c r="J96" i="14"/>
  <c r="K96" i="14" s="1"/>
  <c r="J90" i="14"/>
  <c r="K90" i="14" s="1"/>
  <c r="J91" i="14"/>
  <c r="K91" i="14" s="1"/>
  <c r="J79" i="14"/>
  <c r="K79" i="14" s="1"/>
  <c r="J55" i="14"/>
  <c r="K55" i="14" s="1"/>
  <c r="J97" i="14"/>
  <c r="K97" i="14" s="1"/>
  <c r="J70" i="14"/>
  <c r="K70" i="14" s="1"/>
  <c r="J43" i="14"/>
  <c r="K43" i="14" s="1"/>
  <c r="J9" i="14"/>
  <c r="K9" i="14" s="1"/>
  <c r="J22" i="14"/>
  <c r="K22" i="14" s="1"/>
  <c r="J63" i="14"/>
  <c r="K63" i="14" s="1"/>
  <c r="J23" i="14"/>
  <c r="K23" i="14" s="1"/>
  <c r="J111" i="14"/>
  <c r="K111" i="14" s="1"/>
  <c r="J126" i="14"/>
  <c r="K126" i="14" s="1"/>
  <c r="J107" i="14"/>
  <c r="K107" i="14" s="1"/>
  <c r="J80" i="14"/>
  <c r="K80" i="14" s="1"/>
  <c r="J72" i="14"/>
  <c r="K72" i="14" s="1"/>
  <c r="J65" i="14"/>
  <c r="K65" i="14" s="1"/>
  <c r="J128" i="14"/>
  <c r="K128" i="14" s="1"/>
  <c r="J62" i="14"/>
  <c r="K62" i="14" s="1"/>
  <c r="J56" i="14"/>
  <c r="K56" i="14" s="1"/>
  <c r="J95" i="14"/>
  <c r="K95" i="14" s="1"/>
  <c r="J7" i="14"/>
  <c r="K7" i="14" s="1"/>
  <c r="J24" i="14"/>
  <c r="K24" i="14" s="1"/>
  <c r="J135" i="14"/>
  <c r="K135" i="14" s="1"/>
  <c r="J141" i="14"/>
  <c r="K141" i="14" s="1"/>
  <c r="J143" i="14"/>
  <c r="K143" i="14" s="1"/>
  <c r="J139" i="14"/>
  <c r="K139" i="14" s="1"/>
  <c r="J113" i="14"/>
  <c r="K113" i="14" s="1"/>
  <c r="J110" i="14"/>
  <c r="K110" i="14" s="1"/>
  <c r="J87" i="14"/>
  <c r="K87" i="14" s="1"/>
  <c r="J108" i="14"/>
  <c r="K108" i="14" s="1"/>
  <c r="J121" i="14"/>
  <c r="K121" i="14" s="1"/>
  <c r="J119" i="14"/>
  <c r="K119" i="14" s="1"/>
  <c r="J109" i="14"/>
  <c r="K109" i="14" s="1"/>
  <c r="J140" i="14"/>
  <c r="K140" i="14" s="1"/>
  <c r="J117" i="14"/>
  <c r="K117" i="14" s="1"/>
  <c r="J123" i="14"/>
  <c r="K123" i="14" s="1"/>
  <c r="J51" i="14"/>
  <c r="K51" i="14" s="1"/>
  <c r="J130" i="14"/>
  <c r="K130" i="14" s="1"/>
  <c r="J137" i="14"/>
  <c r="K137" i="14" s="1"/>
  <c r="J134" i="14"/>
  <c r="K134" i="14" s="1"/>
  <c r="J144" i="14"/>
  <c r="K144" i="14" s="1"/>
  <c r="J64" i="14"/>
  <c r="K64" i="14" s="1"/>
  <c r="J103" i="14"/>
  <c r="K103" i="14" s="1"/>
  <c r="J34" i="14"/>
  <c r="K34" i="14" s="1"/>
  <c r="J124" i="14"/>
  <c r="K124" i="14" s="1"/>
  <c r="J112" i="14"/>
  <c r="K112" i="14" s="1"/>
  <c r="J44" i="14"/>
  <c r="K44" i="14" s="1"/>
  <c r="J39" i="14"/>
  <c r="K39" i="14" s="1"/>
  <c r="J35" i="14"/>
  <c r="K35" i="14" s="1"/>
  <c r="J127" i="14"/>
  <c r="K127" i="14" s="1"/>
  <c r="J122" i="14"/>
  <c r="K122" i="14" s="1"/>
  <c r="J118" i="14"/>
  <c r="K118" i="14" s="1"/>
  <c r="J138" i="14"/>
  <c r="K138" i="14" s="1"/>
  <c r="J19" i="14"/>
  <c r="K19" i="14" s="1"/>
  <c r="J45" i="14"/>
  <c r="K45" i="14" s="1"/>
  <c r="J57" i="14"/>
  <c r="K57" i="14" s="1"/>
  <c r="J15" i="14"/>
  <c r="K15" i="14" s="1"/>
  <c r="J16" i="14"/>
  <c r="K16" i="14" s="1"/>
  <c r="J120" i="14"/>
  <c r="K120" i="14" s="1"/>
  <c r="J129" i="14"/>
  <c r="K129" i="14" s="1"/>
  <c r="J133" i="14"/>
  <c r="K133" i="14" s="1"/>
  <c r="J17" i="14"/>
  <c r="K17" i="14" s="1"/>
  <c r="J25" i="14"/>
  <c r="K25" i="14" s="1"/>
  <c r="J136" i="14"/>
  <c r="K136" i="14" s="1"/>
  <c r="J26" i="14"/>
  <c r="K26" i="14" s="1"/>
  <c r="J27" i="14"/>
  <c r="K27" i="14" s="1"/>
  <c r="J20" i="14"/>
  <c r="K20" i="14" s="1"/>
  <c r="J28" i="14"/>
  <c r="K28" i="14" s="1"/>
  <c r="J114" i="14"/>
  <c r="K114" i="14" s="1"/>
  <c r="J132" i="14"/>
  <c r="K132" i="14" s="1"/>
  <c r="J101" i="14"/>
  <c r="K101" i="14" s="1"/>
  <c r="J100" i="14"/>
  <c r="K100" i="14" s="1"/>
  <c r="J88" i="14"/>
  <c r="K88" i="14" s="1"/>
  <c r="J66" i="14"/>
  <c r="K66" i="14" s="1"/>
  <c r="J125" i="14"/>
  <c r="K125" i="14" s="1"/>
  <c r="J131" i="14"/>
  <c r="K131" i="14" s="1"/>
  <c r="J104" i="14"/>
  <c r="K104" i="14" s="1"/>
  <c r="J83" i="14"/>
  <c r="K83" i="14" s="1"/>
  <c r="J105" i="14"/>
  <c r="K105" i="14" s="1"/>
  <c r="J115" i="14"/>
  <c r="K115" i="14" s="1"/>
  <c r="J142" i="14"/>
  <c r="K142" i="14" s="1"/>
  <c r="J92" i="14"/>
  <c r="K92" i="14" s="1"/>
  <c r="J106" i="14"/>
  <c r="K106" i="14" s="1"/>
  <c r="J29" i="14"/>
  <c r="K29" i="14" s="1"/>
  <c r="J36" i="14"/>
  <c r="K36" i="14" s="1"/>
  <c r="J58" i="14"/>
  <c r="K58" i="14" s="1"/>
  <c r="J40" i="14"/>
  <c r="K40" i="14" s="1"/>
  <c r="J14" i="14"/>
  <c r="K14" i="14" s="1"/>
  <c r="J8" i="14"/>
  <c r="K8" i="14" s="1"/>
  <c r="J12" i="14"/>
  <c r="K12" i="14" s="1"/>
  <c r="J116" i="14"/>
  <c r="K116" i="14" s="1"/>
  <c r="J59" i="14"/>
  <c r="K59" i="14" s="1"/>
  <c r="J10" i="14"/>
  <c r="K10" i="14" s="1"/>
  <c r="J46" i="14"/>
  <c r="K46" i="14" s="1"/>
  <c r="J73" i="14"/>
  <c r="K73" i="14" s="1"/>
  <c r="B146" i="14"/>
  <c r="G34" i="23" s="1"/>
  <c r="B46" i="13"/>
  <c r="C21" i="12"/>
  <c r="G59" i="23" s="1"/>
  <c r="B21" i="12"/>
  <c r="G58" i="23" s="1"/>
  <c r="B94" i="11"/>
  <c r="G64" i="23" s="1"/>
  <c r="G70" i="23" s="1"/>
  <c r="B21" i="10"/>
  <c r="B113" i="9"/>
  <c r="G43" i="23" s="1"/>
  <c r="C40" i="8"/>
  <c r="G31" i="23" s="1"/>
  <c r="B40" i="8"/>
  <c r="B45" i="7"/>
  <c r="H40" i="1"/>
  <c r="G8" i="23" s="1"/>
  <c r="G40" i="1"/>
  <c r="G7" i="23" s="1"/>
  <c r="F30" i="3"/>
  <c r="G29" i="23" s="1"/>
  <c r="E30" i="3"/>
  <c r="G27" i="23" s="1"/>
  <c r="D30" i="3"/>
  <c r="G26" i="23" s="1"/>
  <c r="D38" i="6"/>
  <c r="G20" i="23" s="1"/>
  <c r="C46" i="6"/>
  <c r="G19" i="23" s="1"/>
  <c r="C41" i="3"/>
  <c r="G25" i="23" s="1"/>
  <c r="C23" i="2"/>
  <c r="G12" i="23" s="1"/>
  <c r="B38" i="6"/>
  <c r="G18" i="23" s="1"/>
  <c r="B69" i="5"/>
  <c r="G15" i="23" s="1"/>
  <c r="B29" i="4"/>
  <c r="G14" i="23" s="1"/>
  <c r="B21" i="3"/>
  <c r="G24" i="23" s="1"/>
  <c r="F23" i="1"/>
  <c r="G6" i="23" s="1"/>
  <c r="E23" i="1"/>
  <c r="G5" i="23" s="1"/>
  <c r="D40" i="1"/>
  <c r="G4" i="23" s="1"/>
  <c r="B23" i="2"/>
  <c r="G11" i="23" s="1"/>
  <c r="C23" i="1"/>
  <c r="G3" i="23" s="1"/>
  <c r="B23" i="1"/>
  <c r="G2" i="23" s="1"/>
  <c r="G83" i="23" l="1"/>
  <c r="G103" i="23"/>
  <c r="G84" i="23"/>
  <c r="G96" i="23"/>
  <c r="J96" i="23"/>
  <c r="T10" i="19"/>
  <c r="J19" i="23"/>
  <c r="G57" i="23"/>
  <c r="G99" i="23"/>
  <c r="L9" i="12"/>
  <c r="M8" i="12"/>
  <c r="Z9" i="21"/>
  <c r="I13" i="16"/>
  <c r="I21" i="16"/>
  <c r="AA10" i="19"/>
  <c r="I14" i="16"/>
  <c r="I22" i="16"/>
  <c r="I15" i="16"/>
  <c r="I23" i="16"/>
  <c r="H57" i="23"/>
  <c r="I16" i="16"/>
  <c r="I24" i="16"/>
  <c r="I9" i="8"/>
  <c r="I25" i="16"/>
  <c r="I10" i="16"/>
  <c r="I18" i="16"/>
  <c r="I26" i="16"/>
  <c r="I12" i="16"/>
  <c r="I19" i="16"/>
  <c r="I27" i="16"/>
  <c r="I11" i="16"/>
  <c r="G73" i="23"/>
  <c r="G108" i="23"/>
  <c r="K113" i="23"/>
  <c r="G63" i="23"/>
  <c r="G48" i="23"/>
  <c r="G50" i="23" s="1"/>
  <c r="G21" i="23"/>
  <c r="G28" i="23"/>
  <c r="G33" i="23"/>
  <c r="G42" i="23"/>
  <c r="G9" i="23"/>
  <c r="M9" i="3"/>
  <c r="L108" i="9"/>
  <c r="L106" i="9"/>
  <c r="L104" i="9"/>
  <c r="L102" i="9"/>
  <c r="L100" i="9"/>
  <c r="L98" i="9"/>
  <c r="L96" i="9"/>
  <c r="L94" i="9"/>
  <c r="L92" i="9"/>
  <c r="L90" i="9"/>
  <c r="L88" i="9"/>
  <c r="L86" i="9"/>
  <c r="L84" i="9"/>
  <c r="L82" i="9"/>
  <c r="L80" i="9"/>
  <c r="L78" i="9"/>
  <c r="L76" i="9"/>
  <c r="L74" i="9"/>
  <c r="L72" i="9"/>
  <c r="L70" i="9"/>
  <c r="L68" i="9"/>
  <c r="L66" i="9"/>
  <c r="L64" i="9"/>
  <c r="L62" i="9"/>
  <c r="L60" i="9"/>
  <c r="L58" i="9"/>
  <c r="L56" i="9"/>
  <c r="L54" i="9"/>
  <c r="L52" i="9"/>
  <c r="L50" i="9"/>
  <c r="L48" i="9"/>
  <c r="L46" i="9"/>
  <c r="L44" i="9"/>
  <c r="L42" i="9"/>
  <c r="L40" i="9"/>
  <c r="L38" i="9"/>
  <c r="L36" i="9"/>
  <c r="L34" i="9"/>
  <c r="L32" i="9"/>
  <c r="L30" i="9"/>
  <c r="L28" i="9"/>
  <c r="L26" i="9"/>
  <c r="L24" i="9"/>
  <c r="L22" i="9"/>
  <c r="L20" i="9"/>
  <c r="L18" i="9"/>
  <c r="L16" i="9"/>
  <c r="L14" i="9"/>
  <c r="L12" i="9"/>
  <c r="L10" i="9"/>
  <c r="L8" i="9"/>
  <c r="L6" i="9"/>
  <c r="AE7" i="9"/>
  <c r="L107" i="9"/>
  <c r="L105" i="9"/>
  <c r="L103" i="9"/>
  <c r="L101" i="9"/>
  <c r="L99" i="9"/>
  <c r="L97" i="9"/>
  <c r="L95" i="9"/>
  <c r="L93" i="9"/>
  <c r="L91" i="9"/>
  <c r="L89" i="9"/>
  <c r="L87" i="9"/>
  <c r="L85" i="9"/>
  <c r="L83" i="9"/>
  <c r="L81" i="9"/>
  <c r="L79" i="9"/>
  <c r="L77" i="9"/>
  <c r="L75" i="9"/>
  <c r="L73" i="9"/>
  <c r="L71" i="9"/>
  <c r="L69" i="9"/>
  <c r="L67" i="9"/>
  <c r="L65" i="9"/>
  <c r="L63" i="9"/>
  <c r="L61" i="9"/>
  <c r="L59" i="9"/>
  <c r="L57" i="9"/>
  <c r="L55" i="9"/>
  <c r="L53" i="9"/>
  <c r="L51" i="9"/>
  <c r="L49" i="9"/>
  <c r="L47" i="9"/>
  <c r="L45" i="9"/>
  <c r="L43" i="9"/>
  <c r="L41" i="9"/>
  <c r="L39" i="9"/>
  <c r="L37" i="9"/>
  <c r="L35" i="9"/>
  <c r="L33" i="9"/>
  <c r="L31" i="9"/>
  <c r="L29" i="9"/>
  <c r="L27" i="9"/>
  <c r="L25" i="9"/>
  <c r="L23" i="9"/>
  <c r="L21" i="9"/>
  <c r="L19" i="9"/>
  <c r="L17" i="9"/>
  <c r="L15" i="9"/>
  <c r="L13" i="9"/>
  <c r="L11" i="9"/>
  <c r="L9" i="9"/>
  <c r="L7" i="9"/>
  <c r="AI33" i="11"/>
  <c r="AI31" i="11"/>
  <c r="AI29" i="11"/>
  <c r="AI27" i="11"/>
  <c r="AI25" i="11"/>
  <c r="AI23" i="11"/>
  <c r="AI21" i="11"/>
  <c r="AI19" i="11"/>
  <c r="AI17" i="11"/>
  <c r="AI15" i="11"/>
  <c r="AI13" i="11"/>
  <c r="AI11" i="11"/>
  <c r="AI9" i="11"/>
  <c r="AI34" i="11"/>
  <c r="AI32" i="11"/>
  <c r="AI30" i="11"/>
  <c r="AI28" i="11"/>
  <c r="AI26" i="11"/>
  <c r="AI24" i="11"/>
  <c r="AI22" i="11"/>
  <c r="AI20" i="11"/>
  <c r="AI18" i="11"/>
  <c r="AI16" i="11"/>
  <c r="AI14" i="11"/>
  <c r="AI12" i="11"/>
  <c r="AI10" i="11"/>
  <c r="AI8" i="11"/>
  <c r="H11" i="14"/>
  <c r="G10" i="14"/>
  <c r="U10" i="19" l="1"/>
  <c r="T11" i="19"/>
  <c r="AB10" i="19"/>
  <c r="AA11" i="19"/>
  <c r="Z10" i="21"/>
  <c r="AA9" i="21"/>
  <c r="J9" i="8"/>
  <c r="I10" i="8"/>
  <c r="M9" i="12"/>
  <c r="L10" i="12"/>
  <c r="N9" i="3"/>
  <c r="M10" i="3"/>
  <c r="AF7" i="9"/>
  <c r="AE8" i="9"/>
  <c r="H12" i="14"/>
  <c r="G11" i="14"/>
  <c r="L11" i="12" l="1"/>
  <c r="M10" i="12"/>
  <c r="T12" i="19"/>
  <c r="U11" i="19"/>
  <c r="I11" i="8"/>
  <c r="J10" i="8"/>
  <c r="Z11" i="21"/>
  <c r="AA10" i="21"/>
  <c r="AA12" i="19"/>
  <c r="AB11" i="19"/>
  <c r="M11" i="3"/>
  <c r="N10" i="3"/>
  <c r="AE9" i="9"/>
  <c r="AF8" i="9"/>
  <c r="H13" i="14"/>
  <c r="G12" i="14"/>
  <c r="I12" i="8" l="1"/>
  <c r="J11" i="8"/>
  <c r="Z12" i="21"/>
  <c r="AA11" i="21"/>
  <c r="T13" i="19"/>
  <c r="U12" i="19"/>
  <c r="AA13" i="19"/>
  <c r="AB12" i="19"/>
  <c r="L12" i="12"/>
  <c r="M11" i="12"/>
  <c r="M12" i="3"/>
  <c r="N11" i="3"/>
  <c r="AE10" i="9"/>
  <c r="AF9" i="9"/>
  <c r="H14" i="14"/>
  <c r="G13" i="14"/>
  <c r="AA14" i="19" l="1"/>
  <c r="AB13" i="19"/>
  <c r="T14" i="19"/>
  <c r="U13" i="19"/>
  <c r="Z13" i="21"/>
  <c r="AA12" i="21"/>
  <c r="L13" i="12"/>
  <c r="M12" i="12"/>
  <c r="I13" i="8"/>
  <c r="J12" i="8"/>
  <c r="M13" i="3"/>
  <c r="N12" i="3"/>
  <c r="AE11" i="9"/>
  <c r="AF10" i="9"/>
  <c r="H15" i="14"/>
  <c r="G14" i="14"/>
  <c r="L14" i="12" l="1"/>
  <c r="M13" i="12"/>
  <c r="T15" i="19"/>
  <c r="U14" i="19"/>
  <c r="Z14" i="21"/>
  <c r="AA13" i="21"/>
  <c r="I14" i="8"/>
  <c r="J13" i="8"/>
  <c r="AA15" i="19"/>
  <c r="AB14" i="19"/>
  <c r="M14" i="3"/>
  <c r="N13" i="3"/>
  <c r="AE12" i="9"/>
  <c r="AF11" i="9"/>
  <c r="H16" i="14"/>
  <c r="G15" i="14"/>
  <c r="I15" i="8" l="1"/>
  <c r="J14" i="8"/>
  <c r="Z15" i="21"/>
  <c r="AA14" i="21"/>
  <c r="T16" i="19"/>
  <c r="U15" i="19"/>
  <c r="AA16" i="19"/>
  <c r="AB15" i="19"/>
  <c r="L15" i="12"/>
  <c r="M14" i="12"/>
  <c r="M15" i="3"/>
  <c r="N14" i="3"/>
  <c r="AE13" i="9"/>
  <c r="AF12" i="9"/>
  <c r="H17" i="14"/>
  <c r="G16" i="14"/>
  <c r="L16" i="12" l="1"/>
  <c r="M15" i="12"/>
  <c r="AA17" i="19"/>
  <c r="AB16" i="19"/>
  <c r="I16" i="8"/>
  <c r="J15" i="8"/>
  <c r="Z16" i="21"/>
  <c r="AA15" i="21"/>
  <c r="T17" i="19"/>
  <c r="U16" i="19"/>
  <c r="M16" i="3"/>
  <c r="N15" i="3"/>
  <c r="AE14" i="9"/>
  <c r="AF13" i="9"/>
  <c r="H18" i="14"/>
  <c r="G17" i="14"/>
  <c r="I17" i="8" l="1"/>
  <c r="J16" i="8"/>
  <c r="Z17" i="21"/>
  <c r="AA16" i="21"/>
  <c r="AA18" i="19"/>
  <c r="AB17" i="19"/>
  <c r="T18" i="19"/>
  <c r="U17" i="19"/>
  <c r="L17" i="12"/>
  <c r="M16" i="12"/>
  <c r="M17" i="3"/>
  <c r="N16" i="3"/>
  <c r="AE15" i="9"/>
  <c r="AF14" i="9"/>
  <c r="H19" i="14"/>
  <c r="G18" i="14"/>
  <c r="L18" i="12" l="1"/>
  <c r="M17" i="12"/>
  <c r="T19" i="19"/>
  <c r="U18" i="19"/>
  <c r="Z18" i="21"/>
  <c r="AA17" i="21"/>
  <c r="AA19" i="19"/>
  <c r="AB18" i="19"/>
  <c r="I18" i="8"/>
  <c r="J17" i="8"/>
  <c r="M18" i="3"/>
  <c r="N17" i="3"/>
  <c r="AE16" i="9"/>
  <c r="AF15" i="9"/>
  <c r="H20" i="14"/>
  <c r="G19" i="14"/>
  <c r="AA20" i="19" l="1"/>
  <c r="AB19" i="19"/>
  <c r="Z19" i="21"/>
  <c r="AA18" i="21"/>
  <c r="T20" i="19"/>
  <c r="U19" i="19"/>
  <c r="I19" i="8"/>
  <c r="J18" i="8"/>
  <c r="L19" i="12"/>
  <c r="M18" i="12"/>
  <c r="M19" i="3"/>
  <c r="N18" i="3"/>
  <c r="AE17" i="9"/>
  <c r="AF16" i="9"/>
  <c r="H21" i="14"/>
  <c r="G20" i="14"/>
  <c r="L20" i="12" l="1"/>
  <c r="M19" i="12"/>
  <c r="I20" i="8"/>
  <c r="J19" i="8"/>
  <c r="AA21" i="19"/>
  <c r="AB20" i="19"/>
  <c r="T21" i="19"/>
  <c r="U20" i="19"/>
  <c r="Z20" i="21"/>
  <c r="AA19" i="21"/>
  <c r="M20" i="3"/>
  <c r="N19" i="3"/>
  <c r="AE18" i="9"/>
  <c r="AF17" i="9"/>
  <c r="H22" i="14"/>
  <c r="G21" i="14"/>
  <c r="L21" i="12" l="1"/>
  <c r="M20" i="12"/>
  <c r="Z21" i="21"/>
  <c r="AA20" i="21"/>
  <c r="T22" i="19"/>
  <c r="U21" i="19"/>
  <c r="AA22" i="19"/>
  <c r="AB21" i="19"/>
  <c r="I21" i="8"/>
  <c r="J20" i="8"/>
  <c r="M21" i="3"/>
  <c r="N20" i="3"/>
  <c r="AE19" i="9"/>
  <c r="AF18" i="9"/>
  <c r="H23" i="14"/>
  <c r="G22" i="14"/>
  <c r="I22" i="8" l="1"/>
  <c r="J21" i="8"/>
  <c r="L22" i="12"/>
  <c r="M21" i="12"/>
  <c r="AA23" i="19"/>
  <c r="AB22" i="19"/>
  <c r="T23" i="19"/>
  <c r="U22" i="19"/>
  <c r="Z22" i="21"/>
  <c r="AA21" i="21"/>
  <c r="M22" i="3"/>
  <c r="N21" i="3"/>
  <c r="AE20" i="9"/>
  <c r="AF19" i="9"/>
  <c r="H24" i="14"/>
  <c r="G23" i="14"/>
  <c r="T24" i="19" l="1"/>
  <c r="U23" i="19"/>
  <c r="Z23" i="21"/>
  <c r="AA22" i="21"/>
  <c r="I23" i="8"/>
  <c r="J22" i="8"/>
  <c r="AA24" i="19"/>
  <c r="AB23" i="19"/>
  <c r="L23" i="12"/>
  <c r="M22" i="12"/>
  <c r="M23" i="3"/>
  <c r="N22" i="3"/>
  <c r="AE21" i="9"/>
  <c r="AF20" i="9"/>
  <c r="H25" i="14"/>
  <c r="G24" i="14"/>
  <c r="L24" i="12" l="1"/>
  <c r="M23" i="12"/>
  <c r="AA25" i="19"/>
  <c r="AB24" i="19"/>
  <c r="T25" i="19"/>
  <c r="U24" i="19"/>
  <c r="I24" i="8"/>
  <c r="J23" i="8"/>
  <c r="Z24" i="21"/>
  <c r="AA23" i="21"/>
  <c r="M24" i="3"/>
  <c r="N23" i="3"/>
  <c r="AE22" i="9"/>
  <c r="AF21" i="9"/>
  <c r="H26" i="14"/>
  <c r="G25" i="14"/>
  <c r="I25" i="8" l="1"/>
  <c r="J24" i="8"/>
  <c r="Z25" i="21"/>
  <c r="AA24" i="21"/>
  <c r="L25" i="12"/>
  <c r="M24" i="12"/>
  <c r="T26" i="19"/>
  <c r="U25" i="19"/>
  <c r="AA26" i="19"/>
  <c r="AB25" i="19"/>
  <c r="M25" i="3"/>
  <c r="N24" i="3"/>
  <c r="AE23" i="9"/>
  <c r="AF22" i="9"/>
  <c r="H27" i="14"/>
  <c r="G26" i="14"/>
  <c r="T27" i="19" l="1"/>
  <c r="U26" i="19"/>
  <c r="L26" i="12"/>
  <c r="M25" i="12"/>
  <c r="Z26" i="21"/>
  <c r="AA25" i="21"/>
  <c r="AA27" i="19"/>
  <c r="AB26" i="19"/>
  <c r="I26" i="8"/>
  <c r="J25" i="8"/>
  <c r="M26" i="3"/>
  <c r="N25" i="3"/>
  <c r="AE24" i="9"/>
  <c r="AF23" i="9"/>
  <c r="H28" i="14"/>
  <c r="G27" i="14"/>
  <c r="L27" i="12" l="1"/>
  <c r="M26" i="12"/>
  <c r="AA28" i="19"/>
  <c r="AB27" i="19"/>
  <c r="Z27" i="21"/>
  <c r="AA26" i="21"/>
  <c r="I27" i="8"/>
  <c r="J26" i="8"/>
  <c r="T28" i="19"/>
  <c r="U27" i="19"/>
  <c r="M27" i="3"/>
  <c r="N26" i="3"/>
  <c r="AE25" i="9"/>
  <c r="AF24" i="9"/>
  <c r="H29" i="14"/>
  <c r="G28" i="14"/>
  <c r="I28" i="8" l="1"/>
  <c r="J27" i="8"/>
  <c r="Z28" i="21"/>
  <c r="AA27" i="21"/>
  <c r="AA29" i="19"/>
  <c r="AB28" i="19"/>
  <c r="T29" i="19"/>
  <c r="U28" i="19"/>
  <c r="L28" i="12"/>
  <c r="M27" i="12"/>
  <c r="M28" i="3"/>
  <c r="N27" i="3"/>
  <c r="AE26" i="9"/>
  <c r="AF25" i="9"/>
  <c r="H30" i="14"/>
  <c r="G29" i="14"/>
  <c r="T30" i="19" l="1"/>
  <c r="U29" i="19"/>
  <c r="AA30" i="19"/>
  <c r="AB29" i="19"/>
  <c r="Z29" i="21"/>
  <c r="AA28" i="21"/>
  <c r="L29" i="12"/>
  <c r="M28" i="12"/>
  <c r="I29" i="8"/>
  <c r="J28" i="8"/>
  <c r="M29" i="3"/>
  <c r="N28" i="3"/>
  <c r="AE27" i="9"/>
  <c r="AF26" i="9"/>
  <c r="H31" i="14"/>
  <c r="G30" i="14"/>
  <c r="L30" i="12" l="1"/>
  <c r="M29" i="12"/>
  <c r="AA31" i="19"/>
  <c r="AB30" i="19"/>
  <c r="Z30" i="21"/>
  <c r="AA29" i="21"/>
  <c r="I30" i="8"/>
  <c r="J29" i="8"/>
  <c r="T31" i="19"/>
  <c r="U30" i="19"/>
  <c r="M30" i="3"/>
  <c r="N29" i="3"/>
  <c r="AE28" i="9"/>
  <c r="AF27" i="9"/>
  <c r="H32" i="14"/>
  <c r="G31" i="14"/>
  <c r="L31" i="12" l="1"/>
  <c r="M30" i="12"/>
  <c r="Z31" i="21"/>
  <c r="AA30" i="21"/>
  <c r="T32" i="19"/>
  <c r="U31" i="19"/>
  <c r="I31" i="8"/>
  <c r="J30" i="8"/>
  <c r="AA32" i="19"/>
  <c r="AB31" i="19"/>
  <c r="M31" i="3"/>
  <c r="N30" i="3"/>
  <c r="AE29" i="9"/>
  <c r="AF28" i="9"/>
  <c r="H33" i="14"/>
  <c r="G32" i="14"/>
  <c r="AA33" i="19" l="1"/>
  <c r="AB32" i="19"/>
  <c r="I32" i="8"/>
  <c r="J31" i="8"/>
  <c r="T33" i="19"/>
  <c r="U32" i="19"/>
  <c r="Z32" i="21"/>
  <c r="AA31" i="21"/>
  <c r="L32" i="12"/>
  <c r="M31" i="12"/>
  <c r="M32" i="3"/>
  <c r="N31" i="3"/>
  <c r="AE30" i="9"/>
  <c r="AF29" i="9"/>
  <c r="H34" i="14"/>
  <c r="G33" i="14"/>
  <c r="T34" i="19" l="1"/>
  <c r="U33" i="19"/>
  <c r="I33" i="8"/>
  <c r="J32" i="8"/>
  <c r="Z33" i="21"/>
  <c r="AA32" i="21"/>
  <c r="L33" i="12"/>
  <c r="M32" i="12"/>
  <c r="AA34" i="19"/>
  <c r="AB33" i="19"/>
  <c r="M33" i="3"/>
  <c r="N32" i="3"/>
  <c r="AE31" i="9"/>
  <c r="AF30" i="9"/>
  <c r="H35" i="14"/>
  <c r="G34" i="14"/>
  <c r="L34" i="12" l="1"/>
  <c r="M33" i="12"/>
  <c r="Z34" i="21"/>
  <c r="AA33" i="21"/>
  <c r="I34" i="8"/>
  <c r="J33" i="8"/>
  <c r="AA35" i="19"/>
  <c r="AB34" i="19"/>
  <c r="T35" i="19"/>
  <c r="U34" i="19"/>
  <c r="M34" i="3"/>
  <c r="N33" i="3"/>
  <c r="AE32" i="9"/>
  <c r="AF31" i="9"/>
  <c r="H36" i="14"/>
  <c r="G35" i="14"/>
  <c r="I35" i="8" l="1"/>
  <c r="J34" i="8"/>
  <c r="AA36" i="19"/>
  <c r="AB35" i="19"/>
  <c r="Z35" i="21"/>
  <c r="AA34" i="21"/>
  <c r="T36" i="19"/>
  <c r="U35" i="19"/>
  <c r="L35" i="12"/>
  <c r="M34" i="12"/>
  <c r="M35" i="3"/>
  <c r="N34" i="3"/>
  <c r="AE33" i="9"/>
  <c r="AF32" i="9"/>
  <c r="H37" i="14"/>
  <c r="G36" i="14"/>
  <c r="T37" i="19" l="1"/>
  <c r="U36" i="19"/>
  <c r="Z36" i="21"/>
  <c r="AA35" i="21"/>
  <c r="L36" i="12"/>
  <c r="M35" i="12"/>
  <c r="AA37" i="19"/>
  <c r="AB36" i="19"/>
  <c r="I36" i="8"/>
  <c r="J35" i="8"/>
  <c r="M36" i="3"/>
  <c r="N35" i="3"/>
  <c r="AE34" i="9"/>
  <c r="AF33" i="9"/>
  <c r="H38" i="14"/>
  <c r="G37" i="14"/>
  <c r="I37" i="8" l="1"/>
  <c r="J36" i="8"/>
  <c r="L37" i="12"/>
  <c r="M36" i="12"/>
  <c r="AA38" i="19"/>
  <c r="AB37" i="19"/>
  <c r="T38" i="19"/>
  <c r="U37" i="19"/>
  <c r="Z37" i="21"/>
  <c r="AA36" i="21"/>
  <c r="M37" i="3"/>
  <c r="N36" i="3"/>
  <c r="AE35" i="9"/>
  <c r="AF34" i="9"/>
  <c r="H39" i="14"/>
  <c r="G38" i="14"/>
  <c r="AA39" i="19" l="1"/>
  <c r="AB38" i="19"/>
  <c r="T39" i="19"/>
  <c r="U38" i="19"/>
  <c r="L38" i="12"/>
  <c r="M37" i="12"/>
  <c r="Z38" i="21"/>
  <c r="AA37" i="21"/>
  <c r="I38" i="8"/>
  <c r="J37" i="8"/>
  <c r="M38" i="3"/>
  <c r="N37" i="3"/>
  <c r="AE36" i="9"/>
  <c r="AF35" i="9"/>
  <c r="H40" i="14"/>
  <c r="G39" i="14"/>
  <c r="Z39" i="21" l="1"/>
  <c r="AA38" i="21"/>
  <c r="L39" i="12"/>
  <c r="M38" i="12"/>
  <c r="T40" i="19"/>
  <c r="U39" i="19"/>
  <c r="I39" i="8"/>
  <c r="J38" i="8"/>
  <c r="AA40" i="19"/>
  <c r="AB39" i="19"/>
  <c r="M39" i="3"/>
  <c r="N38" i="3"/>
  <c r="AE37" i="9"/>
  <c r="AF36" i="9"/>
  <c r="H41" i="14"/>
  <c r="G40" i="14"/>
  <c r="I40" i="8" l="1"/>
  <c r="J39" i="8"/>
  <c r="T41" i="19"/>
  <c r="U40" i="19"/>
  <c r="L40" i="12"/>
  <c r="M39" i="12"/>
  <c r="AA41" i="19"/>
  <c r="AB40" i="19"/>
  <c r="Z40" i="21"/>
  <c r="AA39" i="21"/>
  <c r="M40" i="3"/>
  <c r="N39" i="3"/>
  <c r="AE38" i="9"/>
  <c r="AF37" i="9"/>
  <c r="H42" i="14"/>
  <c r="G41" i="14"/>
  <c r="I41" i="8" l="1"/>
  <c r="J40" i="8"/>
  <c r="AA42" i="19"/>
  <c r="AB41" i="19"/>
  <c r="Z41" i="21"/>
  <c r="AA40" i="21"/>
  <c r="L41" i="12"/>
  <c r="M40" i="12"/>
  <c r="T42" i="19"/>
  <c r="U41" i="19"/>
  <c r="M41" i="3"/>
  <c r="N40" i="3"/>
  <c r="AE39" i="9"/>
  <c r="AF38" i="9"/>
  <c r="H43" i="14"/>
  <c r="G42" i="14"/>
  <c r="L42" i="12" l="1"/>
  <c r="M41" i="12"/>
  <c r="Z42" i="21"/>
  <c r="AA41" i="21"/>
  <c r="AA43" i="19"/>
  <c r="AB42" i="19"/>
  <c r="T43" i="19"/>
  <c r="U42" i="19"/>
  <c r="I42" i="8"/>
  <c r="J41" i="8"/>
  <c r="M42" i="3"/>
  <c r="N41" i="3"/>
  <c r="AE40" i="9"/>
  <c r="AF39" i="9"/>
  <c r="H44" i="14"/>
  <c r="G43" i="14"/>
  <c r="Z43" i="21" l="1"/>
  <c r="AA42" i="21"/>
  <c r="AA44" i="19"/>
  <c r="AB43" i="19"/>
  <c r="T44" i="19"/>
  <c r="U43" i="19"/>
  <c r="I43" i="8"/>
  <c r="J42" i="8"/>
  <c r="L43" i="12"/>
  <c r="M42" i="12"/>
  <c r="M43" i="3"/>
  <c r="N42" i="3"/>
  <c r="AE41" i="9"/>
  <c r="AF40" i="9"/>
  <c r="H45" i="14"/>
  <c r="G44" i="14"/>
  <c r="L44" i="12" l="1"/>
  <c r="M43" i="12"/>
  <c r="I44" i="8"/>
  <c r="J43" i="8"/>
  <c r="AA45" i="19"/>
  <c r="AB44" i="19"/>
  <c r="Z44" i="21"/>
  <c r="AA43" i="21"/>
  <c r="T45" i="19"/>
  <c r="U44" i="19"/>
  <c r="M44" i="3"/>
  <c r="N43" i="3"/>
  <c r="AE42" i="9"/>
  <c r="AF41" i="9"/>
  <c r="H46" i="14"/>
  <c r="G45" i="14"/>
  <c r="T46" i="19" l="1"/>
  <c r="U45" i="19"/>
  <c r="Z45" i="21"/>
  <c r="AA44" i="21"/>
  <c r="L45" i="12"/>
  <c r="M44" i="12"/>
  <c r="AA46" i="19"/>
  <c r="AB45" i="19"/>
  <c r="I45" i="8"/>
  <c r="J44" i="8"/>
  <c r="M45" i="3"/>
  <c r="N44" i="3"/>
  <c r="AE43" i="9"/>
  <c r="AF42" i="9"/>
  <c r="H47" i="14"/>
  <c r="G46" i="14"/>
  <c r="AA47" i="19" l="1"/>
  <c r="AB46" i="19"/>
  <c r="L46" i="12"/>
  <c r="M45" i="12"/>
  <c r="Z46" i="21"/>
  <c r="AA45" i="21"/>
  <c r="I46" i="8"/>
  <c r="J45" i="8"/>
  <c r="T47" i="19"/>
  <c r="U46" i="19"/>
  <c r="M46" i="3"/>
  <c r="N46" i="3" s="1"/>
  <c r="N45" i="3"/>
  <c r="AE44" i="9"/>
  <c r="AF43" i="9"/>
  <c r="H48" i="14"/>
  <c r="G47" i="14"/>
  <c r="I47" i="8" l="1"/>
  <c r="J46" i="8"/>
  <c r="Z47" i="21"/>
  <c r="AA46" i="21"/>
  <c r="L47" i="12"/>
  <c r="M46" i="12"/>
  <c r="T48" i="19"/>
  <c r="U47" i="19"/>
  <c r="AA48" i="19"/>
  <c r="AB47" i="19"/>
  <c r="AE45" i="9"/>
  <c r="AF44" i="9"/>
  <c r="H49" i="14"/>
  <c r="G48" i="14"/>
  <c r="T49" i="19" l="1"/>
  <c r="U48" i="19"/>
  <c r="AA49" i="19"/>
  <c r="AB48" i="19"/>
  <c r="I48" i="8"/>
  <c r="J47" i="8"/>
  <c r="L48" i="12"/>
  <c r="M47" i="12"/>
  <c r="Z48" i="21"/>
  <c r="AA47" i="21"/>
  <c r="AE46" i="9"/>
  <c r="AF45" i="9"/>
  <c r="H50" i="14"/>
  <c r="G49" i="14"/>
  <c r="T50" i="19" l="1"/>
  <c r="U49" i="19"/>
  <c r="Z49" i="21"/>
  <c r="AA48" i="21"/>
  <c r="L49" i="12"/>
  <c r="M48" i="12"/>
  <c r="I49" i="8"/>
  <c r="J48" i="8"/>
  <c r="AA50" i="19"/>
  <c r="AB49" i="19"/>
  <c r="AE47" i="9"/>
  <c r="AF46" i="9"/>
  <c r="H51" i="14"/>
  <c r="G50" i="14"/>
  <c r="I50" i="8" l="1"/>
  <c r="J49" i="8"/>
  <c r="L50" i="12"/>
  <c r="M49" i="12"/>
  <c r="Z50" i="21"/>
  <c r="AA49" i="21"/>
  <c r="AA51" i="19"/>
  <c r="AB50" i="19"/>
  <c r="T51" i="19"/>
  <c r="U50" i="19"/>
  <c r="AE48" i="9"/>
  <c r="AF47" i="9"/>
  <c r="H52" i="14"/>
  <c r="G51" i="14"/>
  <c r="T52" i="19" l="1"/>
  <c r="U51" i="19"/>
  <c r="AA52" i="19"/>
  <c r="AB51" i="19"/>
  <c r="I51" i="8"/>
  <c r="J50" i="8"/>
  <c r="Z51" i="21"/>
  <c r="AA50" i="21"/>
  <c r="L51" i="12"/>
  <c r="M50" i="12"/>
  <c r="AE49" i="9"/>
  <c r="AF48" i="9"/>
  <c r="H53" i="14"/>
  <c r="G52" i="14"/>
  <c r="L52" i="12" l="1"/>
  <c r="M51" i="12"/>
  <c r="T53" i="19"/>
  <c r="U52" i="19"/>
  <c r="Z52" i="21"/>
  <c r="AA51" i="21"/>
  <c r="I52" i="8"/>
  <c r="J51" i="8"/>
  <c r="AA53" i="19"/>
  <c r="AB52" i="19"/>
  <c r="AE50" i="9"/>
  <c r="AF49" i="9"/>
  <c r="H54" i="14"/>
  <c r="G53" i="14"/>
  <c r="AA54" i="19" l="1"/>
  <c r="AB53" i="19"/>
  <c r="Z53" i="21"/>
  <c r="AA52" i="21"/>
  <c r="I53" i="8"/>
  <c r="J52" i="8"/>
  <c r="T54" i="19"/>
  <c r="U53" i="19"/>
  <c r="L53" i="12"/>
  <c r="M52" i="12"/>
  <c r="AE51" i="9"/>
  <c r="AF50" i="9"/>
  <c r="H55" i="14"/>
  <c r="G54" i="14"/>
  <c r="L54" i="12" l="1"/>
  <c r="M53" i="12"/>
  <c r="I54" i="8"/>
  <c r="J53" i="8"/>
  <c r="T55" i="19"/>
  <c r="U54" i="19"/>
  <c r="Z54" i="21"/>
  <c r="AA53" i="21"/>
  <c r="AA55" i="19"/>
  <c r="AB54" i="19"/>
  <c r="AE52" i="9"/>
  <c r="AF51" i="9"/>
  <c r="H56" i="14"/>
  <c r="G55" i="14"/>
  <c r="Z55" i="21" l="1"/>
  <c r="AA54" i="21"/>
  <c r="T56" i="19"/>
  <c r="U55" i="19"/>
  <c r="I55" i="8"/>
  <c r="J54" i="8"/>
  <c r="AA56" i="19"/>
  <c r="AB55" i="19"/>
  <c r="L55" i="12"/>
  <c r="M54" i="12"/>
  <c r="AE53" i="9"/>
  <c r="AF52" i="9"/>
  <c r="H57" i="14"/>
  <c r="G56" i="14"/>
  <c r="AA57" i="19" l="1"/>
  <c r="AB56" i="19"/>
  <c r="L56" i="12"/>
  <c r="M55" i="12"/>
  <c r="T57" i="19"/>
  <c r="U56" i="19"/>
  <c r="Z56" i="21"/>
  <c r="AA55" i="21"/>
  <c r="I56" i="8"/>
  <c r="J56" i="8" s="1"/>
  <c r="J55" i="8"/>
  <c r="AE54" i="9"/>
  <c r="AF53" i="9"/>
  <c r="H58" i="14"/>
  <c r="G57" i="14"/>
  <c r="Z57" i="21" l="1"/>
  <c r="AA56" i="21"/>
  <c r="T58" i="19"/>
  <c r="U57" i="19"/>
  <c r="L57" i="12"/>
  <c r="M56" i="12"/>
  <c r="AA58" i="19"/>
  <c r="AB57" i="19"/>
  <c r="AE55" i="9"/>
  <c r="AF54" i="9"/>
  <c r="H59" i="14"/>
  <c r="G58" i="14"/>
  <c r="Z58" i="21" l="1"/>
  <c r="AA57" i="21"/>
  <c r="AA59" i="19"/>
  <c r="AB58" i="19"/>
  <c r="T59" i="19"/>
  <c r="U58" i="19"/>
  <c r="L58" i="12"/>
  <c r="M57" i="12"/>
  <c r="AE56" i="9"/>
  <c r="AF55" i="9"/>
  <c r="H60" i="14"/>
  <c r="G59" i="14"/>
  <c r="Z59" i="21" l="1"/>
  <c r="AA58" i="21"/>
  <c r="L59" i="12"/>
  <c r="M58" i="12"/>
  <c r="T60" i="19"/>
  <c r="U59" i="19"/>
  <c r="AA60" i="19"/>
  <c r="AB59" i="19"/>
  <c r="AE57" i="9"/>
  <c r="AF56" i="9"/>
  <c r="H61" i="14"/>
  <c r="G60" i="14"/>
  <c r="AA61" i="19" l="1"/>
  <c r="AB60" i="19"/>
  <c r="T61" i="19"/>
  <c r="U60" i="19"/>
  <c r="L60" i="12"/>
  <c r="M59" i="12"/>
  <c r="Z60" i="21"/>
  <c r="AA59" i="21"/>
  <c r="AE58" i="9"/>
  <c r="AF57" i="9"/>
  <c r="H62" i="14"/>
  <c r="G61" i="14"/>
  <c r="Z61" i="21" l="1"/>
  <c r="AA60" i="21"/>
  <c r="L61" i="12"/>
  <c r="M60" i="12"/>
  <c r="T62" i="19"/>
  <c r="U61" i="19"/>
  <c r="AA62" i="19"/>
  <c r="AB61" i="19"/>
  <c r="AE59" i="9"/>
  <c r="AF58" i="9"/>
  <c r="H63" i="14"/>
  <c r="G62" i="14"/>
  <c r="AA63" i="19" l="1"/>
  <c r="AB62" i="19"/>
  <c r="L62" i="12"/>
  <c r="M61" i="12"/>
  <c r="T63" i="19"/>
  <c r="U62" i="19"/>
  <c r="Z62" i="21"/>
  <c r="AA61" i="21"/>
  <c r="AE60" i="9"/>
  <c r="AF59" i="9"/>
  <c r="H64" i="14"/>
  <c r="G63" i="14"/>
  <c r="Z63" i="21" l="1"/>
  <c r="AA62" i="21"/>
  <c r="T64" i="19"/>
  <c r="U63" i="19"/>
  <c r="L63" i="12"/>
  <c r="M62" i="12"/>
  <c r="AA64" i="19"/>
  <c r="AB63" i="19"/>
  <c r="AE61" i="9"/>
  <c r="AF60" i="9"/>
  <c r="H65" i="14"/>
  <c r="G64" i="14"/>
  <c r="L64" i="12" l="1"/>
  <c r="M63" i="12"/>
  <c r="AA65" i="19"/>
  <c r="AB64" i="19"/>
  <c r="T65" i="19"/>
  <c r="U64" i="19"/>
  <c r="Z64" i="21"/>
  <c r="AA63" i="21"/>
  <c r="AE62" i="9"/>
  <c r="AF61" i="9"/>
  <c r="H66" i="14"/>
  <c r="G65" i="14"/>
  <c r="T66" i="19" l="1"/>
  <c r="U65" i="19"/>
  <c r="Z65" i="21"/>
  <c r="AA64" i="21"/>
  <c r="AA66" i="19"/>
  <c r="AB65" i="19"/>
  <c r="L65" i="12"/>
  <c r="M64" i="12"/>
  <c r="AE63" i="9"/>
  <c r="AF62" i="9"/>
  <c r="H67" i="14"/>
  <c r="G66" i="14"/>
  <c r="AA67" i="19" l="1"/>
  <c r="AB66" i="19"/>
  <c r="L66" i="12"/>
  <c r="M65" i="12"/>
  <c r="Z66" i="21"/>
  <c r="AA65" i="21"/>
  <c r="T67" i="19"/>
  <c r="U66" i="19"/>
  <c r="AE64" i="9"/>
  <c r="AF63" i="9"/>
  <c r="H68" i="14"/>
  <c r="G67" i="14"/>
  <c r="T68" i="19" l="1"/>
  <c r="U67" i="19"/>
  <c r="Z67" i="21"/>
  <c r="AA66" i="21"/>
  <c r="L67" i="12"/>
  <c r="M66" i="12"/>
  <c r="AA68" i="19"/>
  <c r="AB68" i="19" s="1"/>
  <c r="AB67" i="19"/>
  <c r="AE65" i="9"/>
  <c r="AF64" i="9"/>
  <c r="H69" i="14"/>
  <c r="G68" i="14"/>
  <c r="L68" i="12" l="1"/>
  <c r="M67" i="12"/>
  <c r="Z68" i="21"/>
  <c r="AA67" i="21"/>
  <c r="T69" i="19"/>
  <c r="U68" i="19"/>
  <c r="AE66" i="9"/>
  <c r="AF65" i="9"/>
  <c r="H70" i="14"/>
  <c r="G69" i="14"/>
  <c r="Z69" i="21" l="1"/>
  <c r="AA68" i="21"/>
  <c r="T70" i="19"/>
  <c r="U70" i="19" s="1"/>
  <c r="U69" i="19"/>
  <c r="L69" i="12"/>
  <c r="M68" i="12"/>
  <c r="AE67" i="9"/>
  <c r="AF66" i="9"/>
  <c r="H71" i="14"/>
  <c r="G70" i="14"/>
  <c r="L70" i="12" l="1"/>
  <c r="M69" i="12"/>
  <c r="Z70" i="21"/>
  <c r="AA69" i="21"/>
  <c r="AE68" i="9"/>
  <c r="AF67" i="9"/>
  <c r="H72" i="14"/>
  <c r="G71" i="14"/>
  <c r="Z71" i="21" l="1"/>
  <c r="AA70" i="21"/>
  <c r="L71" i="12"/>
  <c r="M70" i="12"/>
  <c r="AE69" i="9"/>
  <c r="AF68" i="9"/>
  <c r="H73" i="14"/>
  <c r="G72" i="14"/>
  <c r="L72" i="12" l="1"/>
  <c r="M71" i="12"/>
  <c r="Z72" i="21"/>
  <c r="AA71" i="21"/>
  <c r="AE70" i="9"/>
  <c r="AF69" i="9"/>
  <c r="H74" i="14"/>
  <c r="G73" i="14"/>
  <c r="L73" i="12" l="1"/>
  <c r="M72" i="12"/>
  <c r="Z73" i="21"/>
  <c r="AA72" i="21"/>
  <c r="AE71" i="9"/>
  <c r="AF70" i="9"/>
  <c r="H75" i="14"/>
  <c r="G74" i="14"/>
  <c r="L74" i="12" l="1"/>
  <c r="M73" i="12"/>
  <c r="Z74" i="21"/>
  <c r="AA73" i="21"/>
  <c r="AE72" i="9"/>
  <c r="AF71" i="9"/>
  <c r="H76" i="14"/>
  <c r="G75" i="14"/>
  <c r="Z75" i="21" l="1"/>
  <c r="AA74" i="21"/>
  <c r="L75" i="12"/>
  <c r="M74" i="12"/>
  <c r="AE73" i="9"/>
  <c r="AF72" i="9"/>
  <c r="H77" i="14"/>
  <c r="G76" i="14"/>
  <c r="Z76" i="21" l="1"/>
  <c r="AA76" i="21" s="1"/>
  <c r="AA75" i="21"/>
  <c r="L76" i="12"/>
  <c r="M75" i="12"/>
  <c r="AE74" i="9"/>
  <c r="AF73" i="9"/>
  <c r="H78" i="14"/>
  <c r="G77" i="14"/>
  <c r="L77" i="12" l="1"/>
  <c r="M76" i="12"/>
  <c r="AE75" i="9"/>
  <c r="AF74" i="9"/>
  <c r="H79" i="14"/>
  <c r="G78" i="14"/>
  <c r="L78" i="12" l="1"/>
  <c r="M77" i="12"/>
  <c r="AE76" i="9"/>
  <c r="AF75" i="9"/>
  <c r="H80" i="14"/>
  <c r="G79" i="14"/>
  <c r="L79" i="12" l="1"/>
  <c r="M78" i="12"/>
  <c r="AE77" i="9"/>
  <c r="AF76" i="9"/>
  <c r="H81" i="14"/>
  <c r="G80" i="14"/>
  <c r="L80" i="12" l="1"/>
  <c r="M79" i="12"/>
  <c r="AE78" i="9"/>
  <c r="AF77" i="9"/>
  <c r="H82" i="14"/>
  <c r="G81" i="14"/>
  <c r="L81" i="12" l="1"/>
  <c r="M80" i="12"/>
  <c r="AE79" i="9"/>
  <c r="AF78" i="9"/>
  <c r="H83" i="14"/>
  <c r="G82" i="14"/>
  <c r="L82" i="12" l="1"/>
  <c r="M81" i="12"/>
  <c r="AE80" i="9"/>
  <c r="AF79" i="9"/>
  <c r="H84" i="14"/>
  <c r="G83" i="14"/>
  <c r="L83" i="12" l="1"/>
  <c r="M82" i="12"/>
  <c r="AE81" i="9"/>
  <c r="AF80" i="9"/>
  <c r="H85" i="14"/>
  <c r="G84" i="14"/>
  <c r="L84" i="12" l="1"/>
  <c r="M83" i="12"/>
  <c r="AE82" i="9"/>
  <c r="AF81" i="9"/>
  <c r="H86" i="14"/>
  <c r="G85" i="14"/>
  <c r="L85" i="12" l="1"/>
  <c r="M84" i="12"/>
  <c r="AE83" i="9"/>
  <c r="AF82" i="9"/>
  <c r="H87" i="14"/>
  <c r="G86" i="14"/>
  <c r="L86" i="12" l="1"/>
  <c r="M85" i="12"/>
  <c r="AE84" i="9"/>
  <c r="AF83" i="9"/>
  <c r="H88" i="14"/>
  <c r="G87" i="14"/>
  <c r="L87" i="12" l="1"/>
  <c r="M86" i="12"/>
  <c r="AE85" i="9"/>
  <c r="AF84" i="9"/>
  <c r="H89" i="14"/>
  <c r="G88" i="14"/>
  <c r="L88" i="12" l="1"/>
  <c r="M87" i="12"/>
  <c r="AE86" i="9"/>
  <c r="AF85" i="9"/>
  <c r="H90" i="14"/>
  <c r="G89" i="14"/>
  <c r="L89" i="12" l="1"/>
  <c r="M88" i="12"/>
  <c r="AE87" i="9"/>
  <c r="AF86" i="9"/>
  <c r="H91" i="14"/>
  <c r="G90" i="14"/>
  <c r="L90" i="12" l="1"/>
  <c r="M89" i="12"/>
  <c r="AE88" i="9"/>
  <c r="AF87" i="9"/>
  <c r="H92" i="14"/>
  <c r="G91" i="14"/>
  <c r="L91" i="12" l="1"/>
  <c r="M90" i="12"/>
  <c r="AE89" i="9"/>
  <c r="AF88" i="9"/>
  <c r="H93" i="14"/>
  <c r="G92" i="14"/>
  <c r="L92" i="12" l="1"/>
  <c r="M91" i="12"/>
  <c r="AE90" i="9"/>
  <c r="AF89" i="9"/>
  <c r="H94" i="14"/>
  <c r="G93" i="14"/>
  <c r="L93" i="12" l="1"/>
  <c r="M92" i="12"/>
  <c r="AE91" i="9"/>
  <c r="AF90" i="9"/>
  <c r="H95" i="14"/>
  <c r="G94" i="14"/>
  <c r="L94" i="12" l="1"/>
  <c r="M93" i="12"/>
  <c r="AE92" i="9"/>
  <c r="AF91" i="9"/>
  <c r="H96" i="14"/>
  <c r="G95" i="14"/>
  <c r="L95" i="12" l="1"/>
  <c r="M94" i="12"/>
  <c r="AE93" i="9"/>
  <c r="AF92" i="9"/>
  <c r="H97" i="14"/>
  <c r="G96" i="14"/>
  <c r="L96" i="12" l="1"/>
  <c r="M95" i="12"/>
  <c r="AE94" i="9"/>
  <c r="AF93" i="9"/>
  <c r="H98" i="14"/>
  <c r="G97" i="14"/>
  <c r="L97" i="12" l="1"/>
  <c r="M96" i="12"/>
  <c r="AE95" i="9"/>
  <c r="AF94" i="9"/>
  <c r="H99" i="14"/>
  <c r="G98" i="14"/>
  <c r="L98" i="12" l="1"/>
  <c r="M97" i="12"/>
  <c r="AE96" i="9"/>
  <c r="AF95" i="9"/>
  <c r="H100" i="14"/>
  <c r="G99" i="14"/>
  <c r="L99" i="12" l="1"/>
  <c r="M98" i="12"/>
  <c r="AE97" i="9"/>
  <c r="AF96" i="9"/>
  <c r="H101" i="14"/>
  <c r="G100" i="14"/>
  <c r="L100" i="12" l="1"/>
  <c r="M99" i="12"/>
  <c r="AE98" i="9"/>
  <c r="AF97" i="9"/>
  <c r="H102" i="14"/>
  <c r="G101" i="14"/>
  <c r="L101" i="12" l="1"/>
  <c r="M100" i="12"/>
  <c r="AE99" i="9"/>
  <c r="AF98" i="9"/>
  <c r="H103" i="14"/>
  <c r="G102" i="14"/>
  <c r="L102" i="12" l="1"/>
  <c r="M101" i="12"/>
  <c r="AE100" i="9"/>
  <c r="AF100" i="9" s="1"/>
  <c r="AF99" i="9"/>
  <c r="H104" i="14"/>
  <c r="G103" i="14"/>
  <c r="L103" i="12" l="1"/>
  <c r="M102" i="12"/>
  <c r="H105" i="14"/>
  <c r="G104" i="14"/>
  <c r="L104" i="12" l="1"/>
  <c r="M103" i="12"/>
  <c r="H106" i="14"/>
  <c r="G105" i="14"/>
  <c r="L105" i="12" l="1"/>
  <c r="M104" i="12"/>
  <c r="H107" i="14"/>
  <c r="G106" i="14"/>
  <c r="L106" i="12" l="1"/>
  <c r="M105" i="12"/>
  <c r="H108" i="14"/>
  <c r="G107" i="14"/>
  <c r="L107" i="12" l="1"/>
  <c r="M106" i="12"/>
  <c r="H109" i="14"/>
  <c r="G108" i="14"/>
  <c r="L108" i="12" l="1"/>
  <c r="M107" i="12"/>
  <c r="H110" i="14"/>
  <c r="G109" i="14"/>
  <c r="L109" i="12" l="1"/>
  <c r="M109" i="12" s="1"/>
  <c r="M108" i="12"/>
  <c r="H111" i="14"/>
  <c r="G110" i="14"/>
  <c r="H112" i="14" l="1"/>
  <c r="G111" i="14"/>
  <c r="H113" i="14" l="1"/>
  <c r="G112" i="14"/>
  <c r="H114" i="14" l="1"/>
  <c r="G113" i="14"/>
  <c r="H115" i="14" l="1"/>
  <c r="G114" i="14"/>
  <c r="H116" i="14" l="1"/>
  <c r="G115" i="14"/>
  <c r="H117" i="14" l="1"/>
  <c r="G116" i="14"/>
  <c r="H118" i="14" l="1"/>
  <c r="G117" i="14"/>
  <c r="H119" i="14" l="1"/>
  <c r="G118" i="14"/>
  <c r="H120" i="14" l="1"/>
  <c r="G119" i="14"/>
  <c r="H121" i="14" l="1"/>
  <c r="G120" i="14"/>
  <c r="H122" i="14" l="1"/>
  <c r="G121" i="14"/>
  <c r="H123" i="14" l="1"/>
  <c r="G122" i="14"/>
  <c r="H124" i="14" l="1"/>
  <c r="G123" i="14"/>
  <c r="H125" i="14" l="1"/>
  <c r="G124" i="14"/>
  <c r="H126" i="14" l="1"/>
  <c r="G125" i="14"/>
  <c r="H127" i="14" l="1"/>
  <c r="G126" i="14"/>
  <c r="H128" i="14" l="1"/>
  <c r="G127" i="14"/>
  <c r="H129" i="14" l="1"/>
  <c r="G128" i="14"/>
  <c r="H130" i="14" l="1"/>
  <c r="G129" i="14"/>
  <c r="H131" i="14" l="1"/>
  <c r="G130" i="14"/>
  <c r="H132" i="14" l="1"/>
  <c r="G131" i="14"/>
  <c r="H133" i="14" l="1"/>
  <c r="G132" i="14"/>
  <c r="H134" i="14" l="1"/>
  <c r="G133" i="14"/>
  <c r="H135" i="14" l="1"/>
  <c r="G134" i="14"/>
  <c r="H136" i="14" l="1"/>
  <c r="G135" i="14"/>
  <c r="H137" i="14" l="1"/>
  <c r="G136" i="14"/>
  <c r="H138" i="14" l="1"/>
  <c r="G137" i="14"/>
  <c r="H139" i="14" l="1"/>
  <c r="G138" i="14"/>
  <c r="H140" i="14" l="1"/>
  <c r="G139" i="14"/>
  <c r="H141" i="14" l="1"/>
  <c r="G140" i="14"/>
  <c r="H142" i="14" l="1"/>
  <c r="G141" i="14"/>
  <c r="H143" i="14" l="1"/>
  <c r="G142" i="14"/>
  <c r="H144" i="14" l="1"/>
  <c r="G144" i="14" s="1"/>
  <c r="G143" i="14"/>
</calcChain>
</file>

<file path=xl/sharedStrings.xml><?xml version="1.0" encoding="utf-8"?>
<sst xmlns="http://schemas.openxmlformats.org/spreadsheetml/2006/main" count="1100" uniqueCount="531">
  <si>
    <t>Susceptibility masurements, Tasmania</t>
  </si>
  <si>
    <t>North  AGD66</t>
  </si>
  <si>
    <t>East  AGD66</t>
  </si>
  <si>
    <t>Mean</t>
  </si>
  <si>
    <t>Day/Stop</t>
  </si>
  <si>
    <t>5/2</t>
  </si>
  <si>
    <t>5/1</t>
  </si>
  <si>
    <t>4/2</t>
  </si>
  <si>
    <t>4/1</t>
  </si>
  <si>
    <t>5/3</t>
  </si>
  <si>
    <t>5/5</t>
  </si>
  <si>
    <t>5/6</t>
  </si>
  <si>
    <t>Sediment</t>
  </si>
  <si>
    <t>6/1</t>
  </si>
  <si>
    <t>6/2</t>
  </si>
  <si>
    <t>6/3</t>
  </si>
  <si>
    <t>First dyke</t>
  </si>
  <si>
    <t>Second dyke</t>
  </si>
  <si>
    <t>6/4</t>
  </si>
  <si>
    <t>6/5</t>
  </si>
  <si>
    <t>6/6</t>
  </si>
  <si>
    <t>Roadside O/C</t>
  </si>
  <si>
    <t>7/1</t>
  </si>
  <si>
    <t>7/2</t>
  </si>
  <si>
    <t>7/3</t>
  </si>
  <si>
    <t>7/4</t>
  </si>
  <si>
    <t>7/5</t>
  </si>
  <si>
    <t>Metaquartzite</t>
  </si>
  <si>
    <t>(roadside)</t>
  </si>
  <si>
    <t>7/6</t>
  </si>
  <si>
    <t>8/1</t>
  </si>
  <si>
    <t>River float only</t>
  </si>
  <si>
    <t>9/1</t>
  </si>
  <si>
    <t>traverse E</t>
  </si>
  <si>
    <t>N</t>
  </si>
  <si>
    <t>9/2</t>
  </si>
  <si>
    <t>Quartzite</t>
  </si>
  <si>
    <t>9/3</t>
  </si>
  <si>
    <t>10/2</t>
  </si>
  <si>
    <t>10/2a</t>
  </si>
  <si>
    <t>11/1</t>
  </si>
  <si>
    <t>Weathered</t>
  </si>
  <si>
    <t>11/2</t>
  </si>
  <si>
    <t>Weathered deep marine</t>
  </si>
  <si>
    <t>chert &amp; mudstone</t>
  </si>
  <si>
    <t>sandstone &amp;</t>
  </si>
  <si>
    <t>dolomite'</t>
  </si>
  <si>
    <t>2nd dolerite</t>
  </si>
  <si>
    <t>1st dolerite</t>
  </si>
  <si>
    <t>Middle group</t>
  </si>
  <si>
    <t>First 10, then a break in o/c</t>
  </si>
  <si>
    <t>12/2</t>
  </si>
  <si>
    <t>12/1a</t>
  </si>
  <si>
    <t>12/1b</t>
  </si>
  <si>
    <t>Quarry</t>
  </si>
  <si>
    <t>12/3</t>
  </si>
  <si>
    <t>12/4</t>
  </si>
  <si>
    <t>13/1</t>
  </si>
  <si>
    <t>13/2</t>
  </si>
  <si>
    <t>13/3</t>
  </si>
  <si>
    <t>13/4a</t>
  </si>
  <si>
    <t>13/4b</t>
  </si>
  <si>
    <t>15/1</t>
  </si>
  <si>
    <t>Delamerian?</t>
  </si>
  <si>
    <t>Jurassic</t>
  </si>
  <si>
    <t>14/3</t>
  </si>
  <si>
    <t>14/4</t>
  </si>
  <si>
    <t>14/5</t>
  </si>
  <si>
    <t xml:space="preserve">CONTACT </t>
  </si>
  <si>
    <t>MMORPHOSED</t>
  </si>
  <si>
    <t>15/2</t>
  </si>
  <si>
    <t>15/12</t>
  </si>
  <si>
    <t>MMORPHOSED?</t>
  </si>
  <si>
    <t>15/3a</t>
  </si>
  <si>
    <t>15/3b</t>
  </si>
  <si>
    <t>16/1</t>
  </si>
  <si>
    <t>16/2</t>
  </si>
  <si>
    <t>16/3</t>
  </si>
  <si>
    <t>SLATE</t>
  </si>
  <si>
    <t>17/1</t>
  </si>
  <si>
    <t>20/1</t>
  </si>
  <si>
    <t>20/2</t>
  </si>
  <si>
    <t>21/1</t>
  </si>
  <si>
    <t>LAHAR</t>
  </si>
  <si>
    <t>21/2</t>
  </si>
  <si>
    <t>21/3</t>
  </si>
  <si>
    <t>TUFF</t>
  </si>
  <si>
    <t>CONGLOMERATE</t>
  </si>
  <si>
    <t>22/1</t>
  </si>
  <si>
    <t>22/2</t>
  </si>
  <si>
    <t>22/3</t>
  </si>
  <si>
    <t>All measurements x10-3  SI units</t>
  </si>
  <si>
    <t>FLOAT</t>
  </si>
  <si>
    <t>Percent</t>
  </si>
  <si>
    <t xml:space="preserve">Above 0.8 is a second populaation </t>
  </si>
  <si>
    <t>25/1</t>
  </si>
  <si>
    <t>25/2</t>
  </si>
  <si>
    <t xml:space="preserve">Tasmania </t>
  </si>
  <si>
    <t>29/1</t>
  </si>
  <si>
    <t>Cutting</t>
  </si>
  <si>
    <t>PHYLLITE</t>
  </si>
  <si>
    <t>PEB</t>
  </si>
  <si>
    <t>WET</t>
  </si>
  <si>
    <t>1SC</t>
  </si>
  <si>
    <t>Unit</t>
  </si>
  <si>
    <t>Lithology</t>
  </si>
  <si>
    <t>Mean_Sus</t>
  </si>
  <si>
    <t>Median_sus</t>
  </si>
  <si>
    <t>Day/stop</t>
  </si>
  <si>
    <t>Rocky_Cape_Gp</t>
  </si>
  <si>
    <t>Forest_Cong</t>
  </si>
  <si>
    <t>Conglomerate</t>
  </si>
  <si>
    <t>Togari_Siltstone</t>
  </si>
  <si>
    <t>Togari_mafics</t>
  </si>
  <si>
    <t>Siltstone</t>
  </si>
  <si>
    <t>Basalt</t>
  </si>
  <si>
    <t>Cowrie_Siltstone</t>
  </si>
  <si>
    <t>Irby_Siltstone</t>
  </si>
  <si>
    <t>Keith_Mmorphic_float</t>
  </si>
  <si>
    <t>Schist</t>
  </si>
  <si>
    <t>Basement_mafic_dykes</t>
  </si>
  <si>
    <t>Wynyard_Tillite</t>
  </si>
  <si>
    <t>Tillite</t>
  </si>
  <si>
    <t>Cooee_Dolerite</t>
  </si>
  <si>
    <t>Dolerite</t>
  </si>
  <si>
    <t>Phyllite</t>
  </si>
  <si>
    <t>Pelite</t>
  </si>
  <si>
    <t>Motton_Spillite</t>
  </si>
  <si>
    <t>Lahar</t>
  </si>
  <si>
    <t>Tuff</t>
  </si>
  <si>
    <t>Owen_Conglomerate</t>
  </si>
  <si>
    <t>Moina_Sandstone</t>
  </si>
  <si>
    <t>Sandstone</t>
  </si>
  <si>
    <t>Forth_Metamorphics</t>
  </si>
  <si>
    <t>Semischist</t>
  </si>
  <si>
    <t>Serpentinite</t>
  </si>
  <si>
    <t>Weathered_Serp</t>
  </si>
  <si>
    <t>Serpentinite_Forth_Mm</t>
  </si>
  <si>
    <t>Heazlewood_R_Complex</t>
  </si>
  <si>
    <t>Serp_harzburgite-dunite</t>
  </si>
  <si>
    <t>AndersonsCk_Serp</t>
  </si>
  <si>
    <t>Float_Serp</t>
  </si>
  <si>
    <t>AndersonsCk_Gabbro</t>
  </si>
  <si>
    <t>Gabbro</t>
  </si>
  <si>
    <t>Salisbury_Hill_Fm</t>
  </si>
  <si>
    <t>Sst_dolostone</t>
  </si>
  <si>
    <t>11/2a</t>
  </si>
  <si>
    <t>Badger_Head_Group</t>
  </si>
  <si>
    <t>Port_Sorell_Fm</t>
  </si>
  <si>
    <t>Weathered_Quartzite</t>
  </si>
  <si>
    <t>Mathinna_Gp</t>
  </si>
  <si>
    <t>Slate</t>
  </si>
  <si>
    <t>Weathered_psammite_pelite</t>
  </si>
  <si>
    <t>Sandstone_mudstone</t>
  </si>
  <si>
    <t>Contact_mm_sed</t>
  </si>
  <si>
    <t>Jurassic_dolerite</t>
  </si>
  <si>
    <t>Cainozoic_basalt</t>
  </si>
  <si>
    <t>Sorell_dolerite</t>
  </si>
  <si>
    <t>Sorted</t>
  </si>
  <si>
    <t>+1</t>
  </si>
  <si>
    <t>log10</t>
  </si>
  <si>
    <t>Percentile</t>
  </si>
  <si>
    <t>20/2 &amp;21/2</t>
  </si>
  <si>
    <t>N%</t>
  </si>
  <si>
    <t>Motton Spillite East, mostly 1 population,</t>
  </si>
  <si>
    <t>Motton Spillite West, 2 populations,</t>
  </si>
  <si>
    <t>Two populations</t>
  </si>
  <si>
    <t>The lower one has a median of ~ 0.48 and a range from 0.26 to 0.79.</t>
  </si>
  <si>
    <t>The upper one has a median of ~ 1.53 and a range from 0.8 to 3.33</t>
  </si>
  <si>
    <t>Log10</t>
  </si>
  <si>
    <t>13/1 &amp; 2</t>
  </si>
  <si>
    <t>Waratah</t>
  </si>
  <si>
    <t>Ultramafic</t>
  </si>
  <si>
    <t>Forth</t>
  </si>
  <si>
    <t>Andersons Ck</t>
  </si>
  <si>
    <t>Waratah Ultramafic</t>
  </si>
  <si>
    <t>Forth Ultramafic</t>
  </si>
  <si>
    <t>Median 32.2, range from 16.2 to 70.6</t>
  </si>
  <si>
    <t>One population from n=3 to n=84, 93% of readings</t>
  </si>
  <si>
    <t>Probably 1 population from n=3 to n=26, 82% of readings</t>
  </si>
  <si>
    <t>One population from n=6 to n=90, 83% of readings</t>
  </si>
  <si>
    <t>Median 43.2, range from 16.8 to 90.9</t>
  </si>
  <si>
    <t>Median 16.7, range from 6.04 to 52.5</t>
  </si>
  <si>
    <t>Weathered Andersons Ck Ultramafic</t>
  </si>
  <si>
    <t>Higher: median ~ 8.9, range 0.99 to 81.5, N=46</t>
  </si>
  <si>
    <t>Lower: median ~ 0.27, range 0.1 to 0.77, N=59</t>
  </si>
  <si>
    <t>median ~ 22, range 12.7 to 35, N=83</t>
  </si>
  <si>
    <t>5/6 Sorted</t>
  </si>
  <si>
    <t>Togari mafics</t>
  </si>
  <si>
    <t>N=56 of 61 readings</t>
  </si>
  <si>
    <t>Clear evidence of a small second population, range 4.66 to 8.25, N=5</t>
  </si>
  <si>
    <t>Mostly one population, with a median of 0.71, range from 0.22 to 1.36</t>
  </si>
  <si>
    <t>Sort</t>
  </si>
  <si>
    <t>%</t>
  </si>
  <si>
    <t>Delamerian dolerite 11/2</t>
  </si>
  <si>
    <t>All but one of the Jurassic dolerite readings form a single population</t>
  </si>
  <si>
    <t>Delamerian dolerite mostly of one population</t>
  </si>
  <si>
    <t xml:space="preserve"> Median 0.72 and range 0.61 to 0.88</t>
  </si>
  <si>
    <t>Sed</t>
  </si>
  <si>
    <t>0.3-0.4</t>
  </si>
  <si>
    <t>0.2-0.3</t>
  </si>
  <si>
    <t>0.4-0.5</t>
  </si>
  <si>
    <t>0.5-0.6</t>
  </si>
  <si>
    <t>0.6-0.7</t>
  </si>
  <si>
    <t>0.7-0.8</t>
  </si>
  <si>
    <t>0.8-0.9</t>
  </si>
  <si>
    <t>0.9-1.0</t>
  </si>
  <si>
    <t>1.0-1.1</t>
  </si>
  <si>
    <t>1.1-1.2</t>
  </si>
  <si>
    <t>1.2-1.3</t>
  </si>
  <si>
    <t>1.3-1.4</t>
  </si>
  <si>
    <t>1.4-1.5</t>
  </si>
  <si>
    <t>1.5-1.6</t>
  </si>
  <si>
    <t>1.6-1.7</t>
  </si>
  <si>
    <t>1.7-1.8</t>
  </si>
  <si>
    <t>1.8-1.9</t>
  </si>
  <si>
    <t>1.9-2.0</t>
  </si>
  <si>
    <t>&gt;2.0</t>
  </si>
  <si>
    <t>&lt;5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</si>
  <si>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</si>
  <si>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</si>
  <si>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</si>
  <si>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</si>
  <si>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</si>
  <si>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</si>
  <si>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</si>
  <si>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</si>
  <si>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</si>
  <si>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</si>
  <si>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</si>
  <si>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&gt;60</t>
  </si>
  <si>
    <t>0-0.2</t>
  </si>
  <si>
    <t>0.2-0.4</t>
  </si>
  <si>
    <t>0.4-0.6</t>
  </si>
  <si>
    <t>0.6-0.8</t>
  </si>
  <si>
    <t>0.0-1.0</t>
  </si>
  <si>
    <t>1.0-1.2</t>
  </si>
  <si>
    <t>1.2-1.4</t>
  </si>
  <si>
    <t>1.4-1.6</t>
  </si>
  <si>
    <t>1.6-1.8</t>
  </si>
  <si>
    <t>1.8-2.0</t>
  </si>
  <si>
    <t>2.0-2.2</t>
  </si>
  <si>
    <t>2.2-2.4</t>
  </si>
  <si>
    <t>2.4-2.6</t>
  </si>
  <si>
    <t>2.6-2.8</t>
  </si>
  <si>
    <t>2.8-3.0</t>
  </si>
  <si>
    <t>3.0-3.2</t>
  </si>
  <si>
    <t>3.2-3.4</t>
  </si>
  <si>
    <t>3.4-3.6</t>
  </si>
  <si>
    <t>3.6-3.8</t>
  </si>
  <si>
    <t>3.8-4.0</t>
  </si>
  <si>
    <t>4.0-4.2</t>
  </si>
  <si>
    <t>4.2-4.4</t>
  </si>
  <si>
    <t>4.4-4.6</t>
  </si>
  <si>
    <t>4.6-4.8</t>
  </si>
  <si>
    <t>4.8-5.0</t>
  </si>
  <si>
    <t>&gt;50</t>
  </si>
  <si>
    <t>Histogram data</t>
  </si>
  <si>
    <t>Bin</t>
  </si>
  <si>
    <t>0-5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</si>
  <si>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</si>
  <si>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</si>
  <si>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</si>
  <si>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</si>
  <si>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</si>
  <si>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</si>
  <si>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</si>
  <si>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</si>
  <si>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100-110</t>
  </si>
  <si>
    <t>110-120</t>
  </si>
  <si>
    <t>120-130</t>
  </si>
  <si>
    <t>130-140</t>
  </si>
  <si>
    <t>140-150</t>
  </si>
  <si>
    <t>&gt;150</t>
  </si>
  <si>
    <t>5-6</t>
  </si>
  <si>
    <t>6-7</t>
  </si>
  <si>
    <t>7-8</t>
  </si>
  <si>
    <t>8-9</t>
  </si>
  <si>
    <t>9-10</t>
  </si>
  <si>
    <t xml:space="preserve">Delamerian </t>
  </si>
  <si>
    <t>Range</t>
  </si>
  <si>
    <t>&lt;0.4</t>
  </si>
  <si>
    <t>0.4-0.45</t>
  </si>
  <si>
    <t>0.45-0.5</t>
  </si>
  <si>
    <t>0.5-0.55</t>
  </si>
  <si>
    <t>0.55-0.6</t>
  </si>
  <si>
    <t>0.6-0.65</t>
  </si>
  <si>
    <t>0.65-0.7</t>
  </si>
  <si>
    <t>0.7-0.75</t>
  </si>
  <si>
    <t>0.75-0.8</t>
  </si>
  <si>
    <t>0.85-0.9</t>
  </si>
  <si>
    <t>0.9-0.95</t>
  </si>
  <si>
    <t>0.95-1.0</t>
  </si>
  <si>
    <t>1.0-1.05</t>
  </si>
  <si>
    <t>1.05-1.1</t>
  </si>
  <si>
    <t>1.1-1.15</t>
  </si>
  <si>
    <t>&gt;1.15</t>
  </si>
  <si>
    <t>0.8-0.85</t>
  </si>
  <si>
    <t>&lt;10</t>
  </si>
  <si>
    <t>10-12</t>
  </si>
  <si>
    <t>12-14</t>
  </si>
  <si>
    <t>14-16</t>
  </si>
  <si>
    <t>16-18</t>
  </si>
  <si>
    <t>18-20</t>
  </si>
  <si>
    <t>20-22</t>
  </si>
  <si>
    <t>22-24</t>
  </si>
  <si>
    <t>24-26</t>
  </si>
  <si>
    <t>26-28</t>
  </si>
  <si>
    <t>28-30</t>
  </si>
  <si>
    <t>30-32</t>
  </si>
  <si>
    <t>32-34</t>
  </si>
  <si>
    <t>34-36</t>
  </si>
  <si>
    <t>&gt;36</t>
  </si>
  <si>
    <t>All readings</t>
  </si>
  <si>
    <t>&lt;0.5</t>
  </si>
  <si>
    <t>0.5-1.0</t>
  </si>
  <si>
    <t>1.0-1.5</t>
  </si>
  <si>
    <t>1.5-2.0</t>
  </si>
  <si>
    <t>2.0-2.5</t>
  </si>
  <si>
    <t>2.5-3.0</t>
  </si>
  <si>
    <t>3-3.5</t>
  </si>
  <si>
    <t>3.5-4</t>
  </si>
  <si>
    <t>4-4.5</t>
  </si>
  <si>
    <t>4.5-5</t>
  </si>
  <si>
    <t>5-5.5</t>
  </si>
  <si>
    <t>5.5-6</t>
  </si>
  <si>
    <t>&gt;6</t>
  </si>
  <si>
    <t>log 10</t>
  </si>
  <si>
    <t>0.05-0.10</t>
  </si>
  <si>
    <t>0.10-0.15</t>
  </si>
  <si>
    <t>0.15-0.20</t>
  </si>
  <si>
    <t>0.20-0.25</t>
  </si>
  <si>
    <t>0.25-0.30</t>
  </si>
  <si>
    <t>0.30-0.35</t>
  </si>
  <si>
    <t>0.35-0.40</t>
  </si>
  <si>
    <t>0.40-0.45</t>
  </si>
  <si>
    <t>0.45-0.50</t>
  </si>
  <si>
    <t>0.50-0.55</t>
  </si>
  <si>
    <t>0.55-0.60</t>
  </si>
  <si>
    <t>0.60-0.65</t>
  </si>
  <si>
    <t>0.65-0.70</t>
  </si>
  <si>
    <t>&gt;0.70</t>
  </si>
  <si>
    <t>&lt;0.05</t>
  </si>
  <si>
    <t>&lt;0.2</t>
  </si>
  <si>
    <t>&gt;1.5</t>
  </si>
  <si>
    <t>log</t>
  </si>
  <si>
    <t>&lt;0.1</t>
  </si>
  <si>
    <t>0.1-0.2</t>
  </si>
  <si>
    <t>&gt;1.4</t>
  </si>
  <si>
    <t>6/2 &amp; 6/4</t>
  </si>
  <si>
    <t>Both dykes</t>
  </si>
  <si>
    <t>&gt;0.9</t>
  </si>
  <si>
    <t>2.0-3.0</t>
  </si>
  <si>
    <t>3.0-4.0</t>
  </si>
  <si>
    <t>4.0-5.0</t>
  </si>
  <si>
    <t>5.0-6.0</t>
  </si>
  <si>
    <t>6.0-7.0</t>
  </si>
  <si>
    <t>7.0-8.0</t>
  </si>
  <si>
    <t>8.0-9.0</t>
  </si>
  <si>
    <t>9.0-10.0</t>
  </si>
  <si>
    <t>&gt;0.40</t>
  </si>
  <si>
    <r>
      <rPr>
        <i/>
        <sz val="10"/>
        <rFont val="Arial"/>
        <family val="2"/>
      </rPr>
      <t>k</t>
    </r>
    <r>
      <rPr>
        <sz val="10"/>
        <rFont val="Arial"/>
        <family val="2"/>
      </rPr>
      <t>+1</t>
    </r>
  </si>
  <si>
    <r>
      <t>log (</t>
    </r>
    <r>
      <rPr>
        <i/>
        <sz val="10"/>
        <rFont val="Arial"/>
        <family val="2"/>
      </rPr>
      <t>k</t>
    </r>
    <r>
      <rPr>
        <sz val="10"/>
        <rFont val="Arial"/>
        <family val="2"/>
      </rPr>
      <t>+1)</t>
    </r>
  </si>
  <si>
    <t>0.50-1.0</t>
  </si>
  <si>
    <t>&gt;1.0</t>
  </si>
  <si>
    <t>Jurassic, 29/1</t>
  </si>
  <si>
    <t>Jurassic, 15/1 &amp; 17/1</t>
  </si>
  <si>
    <t>3.5-4.0</t>
  </si>
  <si>
    <t>4.0-4.5</t>
  </si>
  <si>
    <t>4.5-5.0</t>
  </si>
  <si>
    <t>5.0-5.5</t>
  </si>
  <si>
    <t>5.5-6.0</t>
  </si>
  <si>
    <t>6.0-6.5</t>
  </si>
  <si>
    <t>6.5-7.0</t>
  </si>
  <si>
    <t>7.0-7.5</t>
  </si>
  <si>
    <t>7.5-8.0</t>
  </si>
  <si>
    <t>8.0-8.5</t>
  </si>
  <si>
    <t>8.5-9.0</t>
  </si>
  <si>
    <t>9.0-9.5</t>
  </si>
  <si>
    <t>9.5-10.0</t>
  </si>
  <si>
    <t>10.0-10.5</t>
  </si>
  <si>
    <t>10.5-11.0</t>
  </si>
  <si>
    <t>11.0-11.5</t>
  </si>
  <si>
    <t>11.5-12.0</t>
  </si>
  <si>
    <t>12.0-12.5</t>
  </si>
  <si>
    <t>12.5-13.0</t>
  </si>
  <si>
    <t>&gt;13</t>
  </si>
  <si>
    <t>3.0-3.5</t>
  </si>
  <si>
    <t>&lt;0.10</t>
  </si>
  <si>
    <t>&gt;1.1</t>
  </si>
  <si>
    <t>10DM1</t>
  </si>
  <si>
    <t>10DM2</t>
  </si>
  <si>
    <t>10DM3</t>
  </si>
  <si>
    <t>10DM4c</t>
  </si>
  <si>
    <t>10DM4a</t>
  </si>
  <si>
    <t>5/7</t>
  </si>
  <si>
    <t>10DM6</t>
  </si>
  <si>
    <t>Dolomite</t>
  </si>
  <si>
    <t>5/8</t>
  </si>
  <si>
    <t>10DM7</t>
  </si>
  <si>
    <t>10DM8a</t>
  </si>
  <si>
    <t>10DM8b</t>
  </si>
  <si>
    <t>10DM9b</t>
  </si>
  <si>
    <t>10DM9a</t>
  </si>
  <si>
    <t>10DM10</t>
  </si>
  <si>
    <t>Basement_Gabbro</t>
  </si>
  <si>
    <t>10DM11</t>
  </si>
  <si>
    <t>10DM12a</t>
  </si>
  <si>
    <t>10DM12b</t>
  </si>
  <si>
    <t>10DM13a</t>
  </si>
  <si>
    <t>10DM13b</t>
  </si>
  <si>
    <t>10DM4b</t>
  </si>
  <si>
    <t>10DM5a</t>
  </si>
  <si>
    <t>10DM5b</t>
  </si>
  <si>
    <t>Samples</t>
  </si>
  <si>
    <t>10DM14</t>
  </si>
  <si>
    <t>10DM15</t>
  </si>
  <si>
    <t>10DM16</t>
  </si>
  <si>
    <t>10DM17</t>
  </si>
  <si>
    <t>10DM18</t>
  </si>
  <si>
    <t>10DM19</t>
  </si>
  <si>
    <t>Scopus_Formation</t>
  </si>
  <si>
    <t>10DM20</t>
  </si>
  <si>
    <t>10/1</t>
  </si>
  <si>
    <t>10DM21a</t>
  </si>
  <si>
    <t>10DM21b</t>
  </si>
  <si>
    <t>10DM22</t>
  </si>
  <si>
    <t>Chert_mudstone_breccia</t>
  </si>
  <si>
    <t>10DM23a</t>
  </si>
  <si>
    <t>10DM23b</t>
  </si>
  <si>
    <t>10DM24</t>
  </si>
  <si>
    <t>10DM25</t>
  </si>
  <si>
    <t>10DM26</t>
  </si>
  <si>
    <t>Psammite</t>
  </si>
  <si>
    <t>10DM27a</t>
  </si>
  <si>
    <t>10DM27b</t>
  </si>
  <si>
    <t>14/1</t>
  </si>
  <si>
    <t>10DM28</t>
  </si>
  <si>
    <t>10DM29a</t>
  </si>
  <si>
    <t>10DM29b</t>
  </si>
  <si>
    <t>10DM30</t>
  </si>
  <si>
    <t>10DM31</t>
  </si>
  <si>
    <t>10DM32</t>
  </si>
  <si>
    <t>10DM33</t>
  </si>
  <si>
    <t>Barrington Chert</t>
  </si>
  <si>
    <t>Barrington_Chert</t>
  </si>
  <si>
    <t>Chert</t>
  </si>
  <si>
    <t>10DM34</t>
  </si>
  <si>
    <t>Pelitic_schist</t>
  </si>
  <si>
    <t>10DM35</t>
  </si>
  <si>
    <t>23/1</t>
  </si>
  <si>
    <t>23/2</t>
  </si>
  <si>
    <t>23/3</t>
  </si>
  <si>
    <t>10DM36</t>
  </si>
  <si>
    <t>Smithton_Dolomite</t>
  </si>
  <si>
    <t>E_AGD66</t>
  </si>
  <si>
    <t>N_AGD66</t>
  </si>
  <si>
    <t>E_GDA94</t>
  </si>
  <si>
    <t>N_GDA94</t>
  </si>
  <si>
    <t>Lowr_sus</t>
  </si>
  <si>
    <t>Uppr_sus</t>
  </si>
  <si>
    <t>East  GDA94</t>
  </si>
  <si>
    <t>North  GDA94</t>
  </si>
  <si>
    <t>29 Nov/Stop 4</t>
  </si>
  <si>
    <t>Median</t>
  </si>
  <si>
    <t>Jacob_Quartzite</t>
  </si>
  <si>
    <t>10DM47</t>
  </si>
  <si>
    <t>Black Shale</t>
  </si>
  <si>
    <t>&lt;0.01</t>
  </si>
  <si>
    <t>0.01-0.02</t>
  </si>
  <si>
    <t>0.02-0.03</t>
  </si>
  <si>
    <t>0.03-0.04</t>
  </si>
  <si>
    <t>0.04-0.05</t>
  </si>
  <si>
    <t>0.05-0.06</t>
  </si>
  <si>
    <t>0.06-0.07</t>
  </si>
  <si>
    <t>0.07-0.08</t>
  </si>
  <si>
    <t>0.09-0.10</t>
  </si>
  <si>
    <t>0.08-0.09</t>
  </si>
  <si>
    <t>0.10-0.11</t>
  </si>
  <si>
    <t>0.11-0.12</t>
  </si>
  <si>
    <t>0.12-0.13</t>
  </si>
  <si>
    <t>0.13-0.14</t>
  </si>
  <si>
    <t>0.14-0.15</t>
  </si>
  <si>
    <t>0.15-0.16</t>
  </si>
  <si>
    <t>0.16-0.17</t>
  </si>
  <si>
    <t>&gt;0.17</t>
  </si>
  <si>
    <t>Port Sorell Fm</t>
  </si>
  <si>
    <t>&gt;0.16</t>
  </si>
  <si>
    <t>Fine-med sst</t>
  </si>
  <si>
    <t>Granule cgl</t>
  </si>
  <si>
    <t>Calc qz sst</t>
  </si>
  <si>
    <t>&lt;0.02</t>
  </si>
  <si>
    <t>N =</t>
  </si>
  <si>
    <t xml:space="preserve">Correction for core </t>
  </si>
  <si>
    <t>mm diam</t>
  </si>
  <si>
    <t>factor</t>
  </si>
  <si>
    <t>Mine HQ CORE</t>
  </si>
  <si>
    <t>Salisbury HillFm</t>
  </si>
  <si>
    <t>sandstone &amp; conglomerate</t>
  </si>
  <si>
    <t>Sus. Correction</t>
  </si>
  <si>
    <t xml:space="preserve">HQ core </t>
  </si>
  <si>
    <t>63.5 mm</t>
  </si>
  <si>
    <t>0.04-0.06</t>
  </si>
  <si>
    <t>0.06-0.08</t>
  </si>
  <si>
    <t>0.08-0.10</t>
  </si>
  <si>
    <t>0.10-0.12</t>
  </si>
  <si>
    <t>0.12-0.14</t>
  </si>
  <si>
    <t>0.14-0.16</t>
  </si>
  <si>
    <t>0.16-0.18</t>
  </si>
  <si>
    <t>0.18-0.20</t>
  </si>
  <si>
    <t>0.20-0.22</t>
  </si>
  <si>
    <t>0.22-0.24</t>
  </si>
  <si>
    <t>0.24-0.26</t>
  </si>
  <si>
    <t>0.26-0.28</t>
  </si>
  <si>
    <t>0.28-0.30</t>
  </si>
  <si>
    <t>0.30-0.32</t>
  </si>
  <si>
    <t>0.32-0.34</t>
  </si>
  <si>
    <t>&gt;0.34</t>
  </si>
  <si>
    <t>0.02-0.04</t>
  </si>
  <si>
    <t>2/6</t>
  </si>
  <si>
    <t>Cowrie Siltstone</t>
  </si>
  <si>
    <t>Forest_Conglom</t>
  </si>
  <si>
    <t>Ultramafics</t>
  </si>
  <si>
    <t xml:space="preserve">     </t>
  </si>
  <si>
    <t>Badger_Head_Group_weathered</t>
  </si>
  <si>
    <t>Badger_Head_Group_unweathered</t>
  </si>
  <si>
    <t>Motton_Spilite_LowMag</t>
  </si>
  <si>
    <t>Motton_Spilite_HiMag</t>
  </si>
  <si>
    <t>Motton_Spilite_ALL</t>
  </si>
  <si>
    <t>Burnie_Formation</t>
  </si>
  <si>
    <t>Burnie_Fm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</si>
</sst>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16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0"/>
      <color theme="4" tint="-0.499984740745262"/>
      <name val="Arial"/>
      <family val="2"/>
    </font>
    <font>
      <sz val="10"/>
      <color theme="5" tint="-0.499984740745262"/>
      <name val="Arial"/>
      <family val="2"/>
    </font>
    <font>
      <b/>
      <sz val="10"/>
      <color theme="5" tint="-0.499984740745262"/>
      <name val="Arial"/>
      <family val="2"/>
    </font>
    <font>
      <b/>
      <sz val="10"/>
      <color theme="4" tint="-0.499984740745262"/>
      <name val="Arial"/>
      <family val="2"/>
    </font>
    <font>
      <b/>
      <sz val="12"/>
      <color theme="5" tint="-0.499984740745262"/>
      <name val="Arial"/>
      <family val="2"/>
    </font>
    <font>
      <b/>
      <sz val="12"/>
      <color theme="4" tint="-0.499984740745262"/>
      <name val="Arial"/>
      <family val="2"/>
    </font>
    <font>
      <b/>
      <sz val="8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FEDD4"/>
        <bgColor indexed="64"/>
      </patternFill>
    </fill>
    <fill>
      <patternFill patternType="solid">
        <fgColor rgb="FFF3DEDD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FEE1FF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89">
    <xf numFmtId="0" fontId="0" fillId="0" borderId="0" xfId="0"/>
    <xf numFmtId="0" fontId="0" fillId="2" borderId="0" xfId="0" applyFill="1"/>
    <xf numFmtId="165" fontId="0" fillId="0" borderId="0" xfId="0" applyNumberFormat="1"/>
    <xf numFmtId="49" fontId="0" fillId="0" borderId="0" xfId="0" applyNumberFormat="1" applyAlignment="1">
      <alignment horizontal="center"/>
    </xf>
    <xf numFmtId="2" fontId="0" fillId="0" borderId="0" xfId="0" applyNumberFormat="1"/>
    <xf numFmtId="2" fontId="0" fillId="2" borderId="0" xfId="0" applyNumberFormat="1" applyFill="1"/>
    <xf numFmtId="2" fontId="2" fillId="0" borderId="0" xfId="0" applyNumberFormat="1" applyFont="1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0" fillId="0" borderId="0" xfId="0" quotePrefix="1"/>
    <xf numFmtId="164" fontId="0" fillId="0" borderId="0" xfId="0" applyNumberFormat="1"/>
    <xf numFmtId="0" fontId="3" fillId="0" borderId="0" xfId="0" applyFont="1"/>
    <xf numFmtId="2" fontId="4" fillId="0" borderId="0" xfId="0" applyNumberFormat="1" applyFont="1"/>
    <xf numFmtId="1" fontId="0" fillId="0" borderId="0" xfId="0" applyNumberFormat="1"/>
    <xf numFmtId="0" fontId="5" fillId="0" borderId="0" xfId="0" applyFont="1"/>
    <xf numFmtId="0" fontId="0" fillId="0" borderId="0" xfId="0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0" xfId="0" applyFont="1"/>
    <xf numFmtId="0" fontId="0" fillId="3" borderId="0" xfId="0" applyFill="1"/>
    <xf numFmtId="2" fontId="0" fillId="3" borderId="0" xfId="0" applyNumberFormat="1" applyFill="1"/>
    <xf numFmtId="0" fontId="0" fillId="3" borderId="0" xfId="0" applyFill="1" applyAlignment="1">
      <alignment horizontal="center"/>
    </xf>
    <xf numFmtId="49" fontId="0" fillId="0" borderId="0" xfId="0" applyNumberFormat="1"/>
    <xf numFmtId="9" fontId="0" fillId="0" borderId="0" xfId="1" applyFont="1"/>
    <xf numFmtId="0" fontId="0" fillId="4" borderId="0" xfId="0" applyFill="1"/>
    <xf numFmtId="0" fontId="0" fillId="5" borderId="0" xfId="0" applyFill="1"/>
    <xf numFmtId="2" fontId="4" fillId="5" borderId="0" xfId="0" applyNumberFormat="1" applyFont="1" applyFill="1"/>
    <xf numFmtId="0" fontId="0" fillId="0" borderId="0" xfId="0" applyFill="1"/>
    <xf numFmtId="2" fontId="4" fillId="0" borderId="0" xfId="0" applyNumberFormat="1" applyFont="1" applyFill="1"/>
    <xf numFmtId="0" fontId="0" fillId="6" borderId="0" xfId="0" applyFill="1"/>
    <xf numFmtId="0" fontId="0" fillId="7" borderId="0" xfId="0" applyFill="1"/>
    <xf numFmtId="0" fontId="4" fillId="3" borderId="0" xfId="0" applyFont="1" applyFill="1"/>
    <xf numFmtId="0" fontId="4" fillId="6" borderId="0" xfId="0" applyFont="1" applyFill="1"/>
    <xf numFmtId="0" fontId="4" fillId="7" borderId="0" xfId="0" applyFont="1" applyFill="1"/>
    <xf numFmtId="49" fontId="4" fillId="0" borderId="0" xfId="0" applyNumberFormat="1" applyFont="1"/>
    <xf numFmtId="0" fontId="4" fillId="0" borderId="0" xfId="0" applyFont="1" applyAlignment="1">
      <alignment horizontal="center"/>
    </xf>
    <xf numFmtId="0" fontId="4" fillId="8" borderId="0" xfId="0" applyFont="1" applyFill="1" applyAlignment="1">
      <alignment horizontal="left" vertical="top" wrapText="1"/>
    </xf>
    <xf numFmtId="49" fontId="4" fillId="0" borderId="0" xfId="0" applyNumberFormat="1" applyFont="1" applyAlignment="1">
      <alignment horizontal="right"/>
    </xf>
    <xf numFmtId="0" fontId="4" fillId="8" borderId="0" xfId="0" applyFont="1" applyFill="1" applyAlignment="1">
      <alignment horizontal="right" vertical="top" wrapText="1"/>
    </xf>
    <xf numFmtId="49" fontId="0" fillId="9" borderId="0" xfId="0" applyNumberFormat="1" applyFill="1" applyAlignment="1">
      <alignment vertical="center"/>
    </xf>
    <xf numFmtId="0" fontId="4" fillId="8" borderId="0" xfId="0" applyFont="1" applyFill="1" applyAlignment="1">
      <alignment horizontal="right" vertical="center" wrapText="1"/>
    </xf>
    <xf numFmtId="0" fontId="0" fillId="0" borderId="0" xfId="0" applyAlignment="1">
      <alignment vertical="center"/>
    </xf>
    <xf numFmtId="49" fontId="3" fillId="9" borderId="0" xfId="0" applyNumberFormat="1" applyFont="1" applyFill="1" applyAlignment="1">
      <alignment vertical="center"/>
    </xf>
    <xf numFmtId="16" fontId="4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2" fontId="0" fillId="10" borderId="0" xfId="0" applyNumberFormat="1" applyFill="1"/>
    <xf numFmtId="0" fontId="0" fillId="10" borderId="0" xfId="0" applyFill="1"/>
    <xf numFmtId="49" fontId="0" fillId="10" borderId="0" xfId="0" applyNumberFormat="1" applyFill="1" applyAlignment="1">
      <alignment horizontal="center"/>
    </xf>
    <xf numFmtId="165" fontId="0" fillId="10" borderId="0" xfId="0" applyNumberFormat="1" applyFill="1"/>
    <xf numFmtId="1" fontId="4" fillId="8" borderId="0" xfId="0" applyNumberFormat="1" applyFont="1" applyFill="1" applyAlignment="1">
      <alignment horizontal="right" vertical="top" wrapText="1"/>
    </xf>
    <xf numFmtId="49" fontId="4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0" fillId="11" borderId="0" xfId="0" applyFill="1"/>
    <xf numFmtId="2" fontId="0" fillId="11" borderId="0" xfId="0" applyNumberFormat="1" applyFill="1"/>
    <xf numFmtId="0" fontId="0" fillId="11" borderId="0" xfId="0" applyFill="1" applyAlignment="1">
      <alignment horizontal="center"/>
    </xf>
    <xf numFmtId="0" fontId="0" fillId="12" borderId="0" xfId="0" applyFill="1"/>
    <xf numFmtId="2" fontId="0" fillId="12" borderId="0" xfId="0" applyNumberFormat="1" applyFill="1"/>
    <xf numFmtId="0" fontId="0" fillId="12" borderId="0" xfId="0" applyFill="1" applyAlignment="1">
      <alignment horizontal="center"/>
    </xf>
    <xf numFmtId="0" fontId="4" fillId="12" borderId="0" xfId="0" applyFont="1" applyFill="1"/>
    <xf numFmtId="0" fontId="4" fillId="11" borderId="0" xfId="0" applyFont="1" applyFill="1"/>
    <xf numFmtId="2" fontId="0" fillId="7" borderId="0" xfId="0" applyNumberFormat="1" applyFill="1"/>
    <xf numFmtId="0" fontId="0" fillId="7" borderId="0" xfId="0" applyFill="1" applyAlignment="1">
      <alignment horizontal="center"/>
    </xf>
    <xf numFmtId="0" fontId="4" fillId="13" borderId="0" xfId="0" applyFont="1" applyFill="1"/>
    <xf numFmtId="0" fontId="0" fillId="13" borderId="0" xfId="0" applyFill="1"/>
    <xf numFmtId="2" fontId="0" fillId="13" borderId="0" xfId="0" applyNumberFormat="1" applyFill="1"/>
    <xf numFmtId="0" fontId="0" fillId="13" borderId="0" xfId="0" applyFill="1" applyAlignment="1">
      <alignment horizontal="center"/>
    </xf>
    <xf numFmtId="0" fontId="4" fillId="14" borderId="0" xfId="0" applyFont="1" applyFill="1"/>
    <xf numFmtId="0" fontId="0" fillId="14" borderId="0" xfId="0" applyFill="1"/>
    <xf numFmtId="2" fontId="0" fillId="14" borderId="0" xfId="0" applyNumberFormat="1" applyFill="1"/>
    <xf numFmtId="0" fontId="0" fillId="14" borderId="0" xfId="0" applyFill="1" applyAlignment="1">
      <alignment horizontal="center"/>
    </xf>
    <xf numFmtId="0" fontId="4" fillId="5" borderId="0" xfId="0" applyFont="1" applyFill="1"/>
    <xf numFmtId="2" fontId="0" fillId="5" borderId="0" xfId="0" applyNumberFormat="1" applyFill="1"/>
    <xf numFmtId="0" fontId="0" fillId="5" borderId="0" xfId="0" applyFill="1" applyAlignment="1">
      <alignment horizontal="center"/>
    </xf>
    <xf numFmtId="0" fontId="4" fillId="16" borderId="0" xfId="0" applyFont="1" applyFill="1"/>
    <xf numFmtId="0" fontId="0" fillId="16" borderId="0" xfId="0" applyFill="1"/>
    <xf numFmtId="2" fontId="0" fillId="16" borderId="0" xfId="0" applyNumberFormat="1" applyFill="1"/>
    <xf numFmtId="0" fontId="0" fillId="16" borderId="0" xfId="0" applyFill="1" applyAlignment="1">
      <alignment horizontal="center"/>
    </xf>
    <xf numFmtId="0" fontId="4" fillId="17" borderId="0" xfId="0" applyFont="1" applyFill="1"/>
    <xf numFmtId="0" fontId="4" fillId="18" borderId="0" xfId="0" applyFont="1" applyFill="1"/>
    <xf numFmtId="0" fontId="0" fillId="18" borderId="0" xfId="0" applyFill="1"/>
    <xf numFmtId="2" fontId="0" fillId="18" borderId="0" xfId="0" applyNumberFormat="1" applyFill="1"/>
    <xf numFmtId="0" fontId="0" fillId="18" borderId="0" xfId="0" applyFill="1" applyAlignment="1">
      <alignment horizontal="center"/>
    </xf>
    <xf numFmtId="0" fontId="4" fillId="19" borderId="0" xfId="0" applyFont="1" applyFill="1"/>
    <xf numFmtId="0" fontId="0" fillId="19" borderId="0" xfId="0" applyFill="1"/>
    <xf numFmtId="2" fontId="0" fillId="19" borderId="0" xfId="0" applyNumberFormat="1" applyFill="1"/>
    <xf numFmtId="0" fontId="0" fillId="19" borderId="0" xfId="0" applyFill="1" applyAlignment="1">
      <alignment horizontal="center"/>
    </xf>
    <xf numFmtId="0" fontId="4" fillId="20" borderId="0" xfId="0" applyFont="1" applyFill="1"/>
    <xf numFmtId="0" fontId="0" fillId="20" borderId="0" xfId="0" applyFill="1"/>
    <xf numFmtId="2" fontId="0" fillId="20" borderId="0" xfId="0" applyNumberFormat="1" applyFill="1"/>
    <xf numFmtId="0" fontId="0" fillId="20" borderId="0" xfId="0" applyFill="1" applyAlignment="1">
      <alignment horizontal="center"/>
    </xf>
    <xf numFmtId="0" fontId="0" fillId="21" borderId="0" xfId="0" applyFill="1"/>
    <xf numFmtId="2" fontId="0" fillId="21" borderId="0" xfId="0" applyNumberFormat="1" applyFill="1"/>
    <xf numFmtId="0" fontId="0" fillId="21" borderId="0" xfId="0" applyFill="1" applyAlignment="1">
      <alignment horizontal="center"/>
    </xf>
    <xf numFmtId="0" fontId="3" fillId="3" borderId="0" xfId="0" applyFont="1" applyFill="1" applyAlignment="1"/>
    <xf numFmtId="0" fontId="4" fillId="12" borderId="0" xfId="0" applyFont="1" applyFill="1" applyAlignment="1"/>
    <xf numFmtId="0" fontId="4" fillId="11" borderId="0" xfId="0" applyFont="1" applyFill="1" applyAlignment="1"/>
    <xf numFmtId="0" fontId="4" fillId="7" borderId="0" xfId="0" applyFont="1" applyFill="1" applyAlignment="1"/>
    <xf numFmtId="0" fontId="4" fillId="3" borderId="0" xfId="0" applyFont="1" applyFill="1" applyAlignment="1"/>
    <xf numFmtId="0" fontId="4" fillId="13" borderId="0" xfId="0" applyFont="1" applyFill="1" applyAlignment="1"/>
    <xf numFmtId="0" fontId="4" fillId="14" borderId="0" xfId="0" applyFont="1" applyFill="1" applyAlignment="1"/>
    <xf numFmtId="0" fontId="4" fillId="5" borderId="0" xfId="0" applyFont="1" applyFill="1" applyAlignment="1"/>
    <xf numFmtId="0" fontId="4" fillId="17" borderId="0" xfId="0" applyFont="1" applyFill="1" applyAlignment="1"/>
    <xf numFmtId="0" fontId="4" fillId="18" borderId="0" xfId="0" applyFont="1" applyFill="1" applyAlignment="1"/>
    <xf numFmtId="0" fontId="4" fillId="19" borderId="0" xfId="0" applyFont="1" applyFill="1" applyAlignment="1"/>
    <xf numFmtId="0" fontId="4" fillId="16" borderId="0" xfId="0" applyFont="1" applyFill="1" applyAlignment="1"/>
    <xf numFmtId="0" fontId="4" fillId="20" borderId="0" xfId="0" applyFont="1" applyFill="1" applyAlignment="1"/>
    <xf numFmtId="0" fontId="4" fillId="21" borderId="0" xfId="0" applyFont="1" applyFill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49" fontId="10" fillId="12" borderId="0" xfId="0" applyNumberFormat="1" applyFont="1" applyFill="1" applyAlignment="1">
      <alignment horizontal="center"/>
    </xf>
    <xf numFmtId="49" fontId="10" fillId="11" borderId="0" xfId="0" applyNumberFormat="1" applyFont="1" applyFill="1" applyAlignment="1">
      <alignment horizontal="center"/>
    </xf>
    <xf numFmtId="49" fontId="10" fillId="7" borderId="0" xfId="0" applyNumberFormat="1" applyFont="1" applyFill="1" applyAlignment="1">
      <alignment horizontal="center"/>
    </xf>
    <xf numFmtId="49" fontId="10" fillId="3" borderId="0" xfId="0" applyNumberFormat="1" applyFont="1" applyFill="1" applyAlignment="1">
      <alignment horizontal="center"/>
    </xf>
    <xf numFmtId="49" fontId="10" fillId="13" borderId="0" xfId="0" applyNumberFormat="1" applyFont="1" applyFill="1" applyAlignment="1">
      <alignment horizontal="center"/>
    </xf>
    <xf numFmtId="49" fontId="10" fillId="6" borderId="0" xfId="0" applyNumberFormat="1" applyFont="1" applyFill="1" applyAlignment="1">
      <alignment horizontal="center"/>
    </xf>
    <xf numFmtId="49" fontId="10" fillId="14" borderId="0" xfId="0" applyNumberFormat="1" applyFont="1" applyFill="1" applyAlignment="1">
      <alignment horizontal="center"/>
    </xf>
    <xf numFmtId="49" fontId="10" fillId="21" borderId="0" xfId="0" applyNumberFormat="1" applyFont="1" applyFill="1" applyAlignment="1">
      <alignment horizontal="center"/>
    </xf>
    <xf numFmtId="49" fontId="10" fillId="15" borderId="0" xfId="0" applyNumberFormat="1" applyFont="1" applyFill="1" applyAlignment="1">
      <alignment horizontal="center"/>
    </xf>
    <xf numFmtId="49" fontId="10" fillId="5" borderId="0" xfId="0" applyNumberFormat="1" applyFont="1" applyFill="1" applyAlignment="1">
      <alignment horizontal="center"/>
    </xf>
    <xf numFmtId="49" fontId="10" fillId="17" borderId="0" xfId="0" applyNumberFormat="1" applyFont="1" applyFill="1" applyAlignment="1">
      <alignment horizontal="center"/>
    </xf>
    <xf numFmtId="49" fontId="10" fillId="18" borderId="0" xfId="0" applyNumberFormat="1" applyFont="1" applyFill="1" applyAlignment="1">
      <alignment horizontal="center"/>
    </xf>
    <xf numFmtId="49" fontId="10" fillId="19" borderId="0" xfId="0" applyNumberFormat="1" applyFont="1" applyFill="1" applyAlignment="1">
      <alignment horizontal="center"/>
    </xf>
    <xf numFmtId="0" fontId="10" fillId="19" borderId="0" xfId="0" applyFont="1" applyFill="1" applyAlignment="1">
      <alignment horizontal="center"/>
    </xf>
    <xf numFmtId="49" fontId="10" fillId="16" borderId="0" xfId="0" applyNumberFormat="1" applyFont="1" applyFill="1" applyAlignment="1">
      <alignment horizontal="center"/>
    </xf>
    <xf numFmtId="49" fontId="10" fillId="20" borderId="0" xfId="0" applyNumberFormat="1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9" fillId="12" borderId="0" xfId="0" applyFont="1" applyFill="1"/>
    <xf numFmtId="0" fontId="9" fillId="11" borderId="0" xfId="0" applyFont="1" applyFill="1"/>
    <xf numFmtId="0" fontId="9" fillId="7" borderId="0" xfId="0" applyFont="1" applyFill="1"/>
    <xf numFmtId="0" fontId="9" fillId="3" borderId="0" xfId="0" applyFont="1" applyFill="1"/>
    <xf numFmtId="0" fontId="9" fillId="13" borderId="0" xfId="0" applyFont="1" applyFill="1"/>
    <xf numFmtId="0" fontId="9" fillId="14" borderId="0" xfId="0" applyFont="1" applyFill="1"/>
    <xf numFmtId="0" fontId="9" fillId="21" borderId="0" xfId="0" applyFont="1" applyFill="1"/>
    <xf numFmtId="0" fontId="9" fillId="5" borderId="0" xfId="0" applyFont="1" applyFill="1"/>
    <xf numFmtId="0" fontId="9" fillId="17" borderId="0" xfId="0" applyFont="1" applyFill="1"/>
    <xf numFmtId="0" fontId="9" fillId="18" borderId="0" xfId="0" applyFont="1" applyFill="1"/>
    <xf numFmtId="0" fontId="9" fillId="19" borderId="0" xfId="0" applyFont="1" applyFill="1"/>
    <xf numFmtId="0" fontId="9" fillId="16" borderId="0" xfId="0" applyFont="1" applyFill="1"/>
    <xf numFmtId="0" fontId="9" fillId="20" borderId="0" xfId="0" applyFont="1" applyFill="1"/>
    <xf numFmtId="0" fontId="9" fillId="0" borderId="0" xfId="0" applyFont="1"/>
    <xf numFmtId="0" fontId="4" fillId="22" borderId="0" xfId="0" applyFont="1" applyFill="1" applyAlignment="1"/>
    <xf numFmtId="0" fontId="0" fillId="22" borderId="0" xfId="0" applyFill="1"/>
    <xf numFmtId="0" fontId="4" fillId="22" borderId="0" xfId="0" applyFont="1" applyFill="1"/>
    <xf numFmtId="2" fontId="0" fillId="22" borderId="0" xfId="0" applyNumberFormat="1" applyFill="1"/>
    <xf numFmtId="0" fontId="0" fillId="22" borderId="0" xfId="0" applyFill="1" applyAlignment="1">
      <alignment horizontal="center"/>
    </xf>
    <xf numFmtId="49" fontId="10" fillId="22" borderId="0" xfId="0" applyNumberFormat="1" applyFont="1" applyFill="1" applyAlignment="1">
      <alignment horizontal="center"/>
    </xf>
    <xf numFmtId="0" fontId="9" fillId="22" borderId="0" xfId="0" applyFont="1" applyFill="1"/>
    <xf numFmtId="49" fontId="0" fillId="0" borderId="0" xfId="0" applyNumberFormat="1" applyAlignment="1">
      <alignment horizontal="center"/>
    </xf>
    <xf numFmtId="0" fontId="7" fillId="0" borderId="0" xfId="0" applyFont="1"/>
    <xf numFmtId="2" fontId="7" fillId="0" borderId="0" xfId="0" applyNumberFormat="1" applyFont="1"/>
    <xf numFmtId="49" fontId="0" fillId="0" borderId="0" xfId="0" applyNumberFormat="1" applyAlignment="1">
      <alignment horizontal="center"/>
    </xf>
    <xf numFmtId="16" fontId="3" fillId="0" borderId="0" xfId="0" applyNumberFormat="1" applyFont="1"/>
    <xf numFmtId="0" fontId="3" fillId="0" borderId="0" xfId="0" applyNumberFormat="1" applyFont="1" applyAlignment="1">
      <alignment horizontal="right"/>
    </xf>
    <xf numFmtId="1" fontId="4" fillId="8" borderId="0" xfId="0" applyNumberFormat="1" applyFont="1" applyFill="1" applyAlignment="1">
      <alignment horizontal="right" vertical="center" wrapText="1"/>
    </xf>
    <xf numFmtId="0" fontId="2" fillId="12" borderId="0" xfId="0" applyFont="1" applyFill="1" applyAlignment="1"/>
    <xf numFmtId="0" fontId="2" fillId="12" borderId="0" xfId="0" applyFont="1" applyFill="1"/>
    <xf numFmtId="2" fontId="2" fillId="12" borderId="0" xfId="0" applyNumberFormat="1" applyFont="1" applyFill="1"/>
    <xf numFmtId="0" fontId="2" fillId="12" borderId="0" xfId="0" applyFont="1" applyFill="1" applyAlignment="1">
      <alignment horizontal="center"/>
    </xf>
    <xf numFmtId="49" fontId="13" fillId="12" borderId="0" xfId="0" applyNumberFormat="1" applyFont="1" applyFill="1" applyAlignment="1">
      <alignment horizontal="center"/>
    </xf>
    <xf numFmtId="0" fontId="14" fillId="12" borderId="0" xfId="0" applyFont="1" applyFill="1"/>
    <xf numFmtId="0" fontId="2" fillId="16" borderId="0" xfId="0" applyFont="1" applyFill="1" applyAlignment="1"/>
    <xf numFmtId="0" fontId="2" fillId="16" borderId="0" xfId="0" applyFont="1" applyFill="1"/>
    <xf numFmtId="2" fontId="2" fillId="16" borderId="0" xfId="0" applyNumberFormat="1" applyFont="1" applyFill="1"/>
    <xf numFmtId="0" fontId="2" fillId="16" borderId="0" xfId="0" applyFont="1" applyFill="1" applyAlignment="1">
      <alignment horizontal="center"/>
    </xf>
    <xf numFmtId="0" fontId="14" fillId="16" borderId="0" xfId="0" applyFont="1" applyFill="1"/>
    <xf numFmtId="0" fontId="2" fillId="11" borderId="0" xfId="0" applyFont="1" applyFill="1" applyAlignment="1"/>
    <xf numFmtId="0" fontId="2" fillId="11" borderId="0" xfId="0" applyFont="1" applyFill="1"/>
    <xf numFmtId="2" fontId="2" fillId="11" borderId="0" xfId="0" applyNumberFormat="1" applyFont="1" applyFill="1"/>
    <xf numFmtId="0" fontId="2" fillId="11" borderId="0" xfId="0" applyFont="1" applyFill="1" applyAlignment="1">
      <alignment horizontal="center"/>
    </xf>
    <xf numFmtId="0" fontId="14" fillId="11" borderId="0" xfId="0" applyFont="1" applyFill="1"/>
    <xf numFmtId="0" fontId="2" fillId="13" borderId="0" xfId="0" applyFont="1" applyFill="1" applyAlignment="1"/>
    <xf numFmtId="0" fontId="2" fillId="13" borderId="0" xfId="0" applyFont="1" applyFill="1"/>
    <xf numFmtId="2" fontId="2" fillId="13" borderId="0" xfId="0" applyNumberFormat="1" applyFont="1" applyFill="1"/>
    <xf numFmtId="0" fontId="2" fillId="13" borderId="0" xfId="0" applyFont="1" applyFill="1" applyAlignment="1">
      <alignment horizontal="center"/>
    </xf>
    <xf numFmtId="0" fontId="14" fillId="13" borderId="0" xfId="0" applyFont="1" applyFill="1"/>
    <xf numFmtId="0" fontId="2" fillId="19" borderId="0" xfId="0" applyFont="1" applyFill="1" applyAlignment="1"/>
    <xf numFmtId="0" fontId="2" fillId="19" borderId="0" xfId="0" applyFont="1" applyFill="1"/>
    <xf numFmtId="2" fontId="2" fillId="19" borderId="0" xfId="0" applyNumberFormat="1" applyFont="1" applyFill="1"/>
    <xf numFmtId="0" fontId="2" fillId="19" borderId="0" xfId="0" applyFont="1" applyFill="1" applyAlignment="1">
      <alignment horizontal="center"/>
    </xf>
    <xf numFmtId="49" fontId="13" fillId="19" borderId="0" xfId="0" applyNumberFormat="1" applyFont="1" applyFill="1" applyAlignment="1">
      <alignment horizontal="center"/>
    </xf>
    <xf numFmtId="0" fontId="14" fillId="19" borderId="0" xfId="0" applyFont="1" applyFill="1"/>
    <xf numFmtId="0" fontId="2" fillId="14" borderId="0" xfId="0" applyFont="1" applyFill="1" applyAlignment="1"/>
    <xf numFmtId="0" fontId="2" fillId="14" borderId="0" xfId="0" applyFont="1" applyFill="1"/>
    <xf numFmtId="2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49" fontId="13" fillId="14" borderId="0" xfId="0" applyNumberFormat="1" applyFont="1" applyFill="1" applyAlignment="1">
      <alignment horizontal="center"/>
    </xf>
    <xf numFmtId="0" fontId="14" fillId="14" borderId="0" xfId="0" applyFont="1" applyFill="1"/>
    <xf numFmtId="0" fontId="3" fillId="7" borderId="0" xfId="0" applyFont="1" applyFill="1" applyAlignment="1"/>
    <xf numFmtId="0" fontId="3" fillId="7" borderId="0" xfId="0" applyFont="1" applyFill="1"/>
    <xf numFmtId="2" fontId="3" fillId="7" borderId="0" xfId="0" applyNumberFormat="1" applyFont="1" applyFill="1"/>
    <xf numFmtId="0" fontId="3" fillId="7" borderId="0" xfId="0" applyFont="1" applyFill="1" applyAlignment="1">
      <alignment horizontal="center"/>
    </xf>
    <xf numFmtId="49" fontId="11" fillId="7" borderId="0" xfId="0" applyNumberFormat="1" applyFont="1" applyFill="1" applyAlignment="1">
      <alignment horizontal="center"/>
    </xf>
    <xf numFmtId="0" fontId="12" fillId="7" borderId="0" xfId="0" applyFont="1" applyFill="1"/>
    <xf numFmtId="0" fontId="2" fillId="7" borderId="0" xfId="0" applyFont="1" applyFill="1" applyAlignment="1"/>
    <xf numFmtId="0" fontId="2" fillId="7" borderId="0" xfId="0" applyFont="1" applyFill="1"/>
    <xf numFmtId="2" fontId="2" fillId="7" borderId="0" xfId="0" applyNumberFormat="1" applyFont="1" applyFill="1"/>
    <xf numFmtId="0" fontId="2" fillId="7" borderId="0" xfId="0" applyFont="1" applyFill="1" applyAlignment="1">
      <alignment horizontal="center"/>
    </xf>
    <xf numFmtId="49" fontId="13" fillId="7" borderId="0" xfId="0" applyNumberFormat="1" applyFont="1" applyFill="1" applyAlignment="1">
      <alignment horizontal="center"/>
    </xf>
    <xf numFmtId="0" fontId="14" fillId="7" borderId="0" xfId="0" applyFont="1" applyFill="1"/>
    <xf numFmtId="49" fontId="13" fillId="13" borderId="0" xfId="0" applyNumberFormat="1" applyFont="1" applyFill="1" applyAlignment="1">
      <alignment horizontal="center"/>
    </xf>
    <xf numFmtId="0" fontId="2" fillId="21" borderId="0" xfId="0" applyFont="1" applyFill="1" applyAlignment="1"/>
    <xf numFmtId="0" fontId="2" fillId="21" borderId="0" xfId="0" applyFont="1" applyFill="1"/>
    <xf numFmtId="2" fontId="2" fillId="21" borderId="0" xfId="0" applyNumberFormat="1" applyFont="1" applyFill="1"/>
    <xf numFmtId="0" fontId="2" fillId="21" borderId="0" xfId="0" applyFont="1" applyFill="1" applyAlignment="1">
      <alignment horizontal="center"/>
    </xf>
    <xf numFmtId="0" fontId="2" fillId="6" borderId="0" xfId="0" applyFont="1" applyFill="1" applyAlignment="1"/>
    <xf numFmtId="0" fontId="2" fillId="6" borderId="0" xfId="0" applyFont="1" applyFill="1"/>
    <xf numFmtId="2" fontId="2" fillId="6" borderId="0" xfId="0" applyNumberFormat="1" applyFont="1" applyFill="1"/>
    <xf numFmtId="0" fontId="2" fillId="6" borderId="0" xfId="0" applyFont="1" applyFill="1" applyAlignment="1">
      <alignment horizontal="center"/>
    </xf>
    <xf numFmtId="0" fontId="14" fillId="6" borderId="0" xfId="0" applyFont="1" applyFill="1"/>
    <xf numFmtId="0" fontId="2" fillId="15" borderId="0" xfId="0" applyFont="1" applyFill="1" applyAlignment="1"/>
    <xf numFmtId="0" fontId="15" fillId="15" borderId="0" xfId="0" applyFont="1" applyFill="1"/>
    <xf numFmtId="0" fontId="2" fillId="15" borderId="0" xfId="0" applyFont="1" applyFill="1"/>
    <xf numFmtId="2" fontId="2" fillId="15" borderId="0" xfId="0" applyNumberFormat="1" applyFont="1" applyFill="1"/>
    <xf numFmtId="0" fontId="2" fillId="15" borderId="0" xfId="0" applyFont="1" applyFill="1" applyAlignment="1">
      <alignment horizontal="center"/>
    </xf>
    <xf numFmtId="0" fontId="14" fillId="15" borderId="0" xfId="0" applyFont="1" applyFill="1"/>
    <xf numFmtId="0" fontId="4" fillId="17" borderId="0" xfId="0" applyFont="1" applyFill="1" applyAlignment="1">
      <alignment horizontal="center"/>
    </xf>
    <xf numFmtId="2" fontId="4" fillId="17" borderId="0" xfId="0" applyNumberFormat="1" applyFont="1" applyFill="1"/>
    <xf numFmtId="0" fontId="2" fillId="18" borderId="0" xfId="0" applyFont="1" applyFill="1" applyAlignment="1"/>
    <xf numFmtId="0" fontId="2" fillId="18" borderId="0" xfId="0" applyFont="1" applyFill="1"/>
    <xf numFmtId="2" fontId="2" fillId="18" borderId="0" xfId="0" applyNumberFormat="1" applyFont="1" applyFill="1"/>
    <xf numFmtId="0" fontId="2" fillId="18" borderId="0" xfId="0" applyFont="1" applyFill="1" applyAlignment="1">
      <alignment horizontal="center"/>
    </xf>
    <xf numFmtId="49" fontId="13" fillId="18" borderId="0" xfId="0" applyNumberFormat="1" applyFont="1" applyFill="1" applyAlignment="1">
      <alignment horizontal="center"/>
    </xf>
    <xf numFmtId="0" fontId="14" fillId="18" borderId="0" xfId="0" applyFont="1" applyFill="1"/>
    <xf numFmtId="166" fontId="4" fillId="17" borderId="0" xfId="0" applyNumberFormat="1" applyFont="1" applyFill="1"/>
    <xf numFmtId="166" fontId="0" fillId="18" borderId="0" xfId="0" applyNumberFormat="1" applyFill="1"/>
    <xf numFmtId="0" fontId="2" fillId="5" borderId="0" xfId="0" applyFont="1" applyFill="1" applyAlignment="1"/>
    <xf numFmtId="0" fontId="2" fillId="5" borderId="0" xfId="0" applyFont="1" applyFill="1"/>
    <xf numFmtId="2" fontId="2" fillId="5" borderId="0" xfId="0" applyNumberFormat="1" applyFont="1" applyFill="1"/>
    <xf numFmtId="0" fontId="2" fillId="5" borderId="0" xfId="0" applyFont="1" applyFill="1" applyAlignment="1">
      <alignment horizontal="center"/>
    </xf>
    <xf numFmtId="49" fontId="13" fillId="5" borderId="0" xfId="0" applyNumberFormat="1" applyFont="1" applyFill="1" applyAlignment="1">
      <alignment horizontal="center"/>
    </xf>
    <xf numFmtId="0" fontId="14" fillId="5" borderId="0" xfId="0" applyFont="1" applyFill="1"/>
    <xf numFmtId="49" fontId="13" fillId="16" borderId="0" xfId="0" applyNumberFormat="1" applyFont="1" applyFill="1" applyAlignment="1">
      <alignment horizontal="center"/>
    </xf>
    <xf numFmtId="166" fontId="2" fillId="18" borderId="0" xfId="0" applyNumberFormat="1" applyFont="1" applyFill="1"/>
    <xf numFmtId="0" fontId="13" fillId="19" borderId="0" xfId="0" applyFont="1" applyFill="1" applyAlignment="1">
      <alignment horizontal="center"/>
    </xf>
    <xf numFmtId="0" fontId="2" fillId="20" borderId="0" xfId="0" applyFont="1" applyFill="1" applyAlignment="1"/>
    <xf numFmtId="0" fontId="2" fillId="20" borderId="0" xfId="0" applyFont="1" applyFill="1"/>
    <xf numFmtId="2" fontId="2" fillId="20" borderId="0" xfId="0" applyNumberFormat="1" applyFont="1" applyFill="1"/>
    <xf numFmtId="0" fontId="2" fillId="20" borderId="0" xfId="0" applyFont="1" applyFill="1" applyAlignment="1">
      <alignment horizontal="center"/>
    </xf>
    <xf numFmtId="49" fontId="13" fillId="20" borderId="0" xfId="0" applyNumberFormat="1" applyFont="1" applyFill="1" applyAlignment="1">
      <alignment horizontal="center"/>
    </xf>
    <xf numFmtId="0" fontId="14" fillId="20" borderId="0" xfId="0" applyFont="1" applyFill="1"/>
    <xf numFmtId="49" fontId="13" fillId="21" borderId="0" xfId="0" applyNumberFormat="1" applyFont="1" applyFill="1" applyAlignment="1">
      <alignment horizontal="center"/>
    </xf>
    <xf numFmtId="0" fontId="14" fillId="21" borderId="0" xfId="0" applyFont="1" applyFill="1"/>
    <xf numFmtId="0" fontId="2" fillId="22" borderId="0" xfId="0" applyFont="1" applyFill="1" applyAlignment="1"/>
    <xf numFmtId="0" fontId="2" fillId="22" borderId="0" xfId="0" applyFont="1" applyFill="1"/>
    <xf numFmtId="2" fontId="2" fillId="22" borderId="0" xfId="0" applyNumberFormat="1" applyFont="1" applyFill="1"/>
    <xf numFmtId="0" fontId="2" fillId="22" borderId="0" xfId="0" applyFont="1" applyFill="1" applyAlignment="1">
      <alignment horizontal="center"/>
    </xf>
    <xf numFmtId="49" fontId="13" fillId="22" borderId="0" xfId="0" applyNumberFormat="1" applyFont="1" applyFill="1" applyAlignment="1">
      <alignment horizontal="center"/>
    </xf>
    <xf numFmtId="0" fontId="1" fillId="12" borderId="0" xfId="0" applyFont="1" applyFill="1"/>
    <xf numFmtId="0" fontId="15" fillId="12" borderId="0" xfId="0" applyFont="1" applyFill="1"/>
    <xf numFmtId="0" fontId="15" fillId="16" borderId="0" xfId="0" applyFont="1" applyFill="1"/>
    <xf numFmtId="0" fontId="1" fillId="11" borderId="0" xfId="0" applyFont="1" applyFill="1"/>
    <xf numFmtId="0" fontId="15" fillId="11" borderId="0" xfId="0" applyFont="1" applyFill="1"/>
    <xf numFmtId="0" fontId="15" fillId="22" borderId="0" xfId="0" applyFont="1" applyFill="1"/>
    <xf numFmtId="0" fontId="15" fillId="7" borderId="0" xfId="0" applyFont="1" applyFill="1"/>
    <xf numFmtId="0" fontId="1" fillId="22" borderId="0" xfId="0" applyFont="1" applyFill="1"/>
    <xf numFmtId="0" fontId="1" fillId="13" borderId="0" xfId="0" applyFont="1" applyFill="1"/>
    <xf numFmtId="0" fontId="15" fillId="13" borderId="0" xfId="0" applyFont="1" applyFill="1"/>
    <xf numFmtId="0" fontId="15" fillId="19" borderId="0" xfId="0" applyFont="1" applyFill="1"/>
    <xf numFmtId="0" fontId="15" fillId="14" borderId="0" xfId="0" applyFont="1" applyFill="1"/>
    <xf numFmtId="0" fontId="1" fillId="7" borderId="0" xfId="0" applyFont="1" applyFill="1"/>
    <xf numFmtId="0" fontId="15" fillId="21" borderId="0" xfId="0" applyFont="1" applyFill="1"/>
    <xf numFmtId="0" fontId="15" fillId="6" borderId="0" xfId="0" applyFont="1" applyFill="1"/>
    <xf numFmtId="0" fontId="1" fillId="5" borderId="0" xfId="0" applyFont="1" applyFill="1"/>
    <xf numFmtId="0" fontId="15" fillId="5" borderId="0" xfId="0" applyFont="1" applyFill="1"/>
    <xf numFmtId="0" fontId="1" fillId="17" borderId="0" xfId="0" applyFont="1" applyFill="1"/>
    <xf numFmtId="0" fontId="1" fillId="3" borderId="0" xfId="0" applyFont="1" applyFill="1"/>
    <xf numFmtId="0" fontId="1" fillId="18" borderId="0" xfId="0" applyFont="1" applyFill="1"/>
    <xf numFmtId="0" fontId="15" fillId="18" borderId="0" xfId="0" applyFont="1" applyFill="1"/>
    <xf numFmtId="0" fontId="1" fillId="14" borderId="0" xfId="0" applyFont="1" applyFill="1"/>
    <xf numFmtId="0" fontId="1" fillId="19" borderId="0" xfId="0" applyFont="1" applyFill="1"/>
    <xf numFmtId="0" fontId="1" fillId="16" borderId="0" xfId="0" applyFont="1" applyFill="1"/>
    <xf numFmtId="0" fontId="1" fillId="20" borderId="0" xfId="0" applyFont="1" applyFill="1"/>
    <xf numFmtId="0" fontId="15" fillId="20" borderId="0" xfId="0" applyFont="1" applyFill="1"/>
    <xf numFmtId="0" fontId="1" fillId="21" borderId="0" xfId="0" applyFont="1" applyFill="1"/>
    <xf numFmtId="0" fontId="1" fillId="0" borderId="0" xfId="0" applyFont="1"/>
    <xf numFmtId="0" fontId="15" fillId="3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2" fontId="3" fillId="3" borderId="0" xfId="0" applyNumberFormat="1" applyFont="1" applyFill="1" applyAlignment="1">
      <alignment horizontal="right"/>
    </xf>
    <xf numFmtId="0" fontId="12" fillId="3" borderId="0" xfId="0" applyFont="1" applyFill="1" applyAlignment="1">
      <alignment horizontal="center"/>
    </xf>
    <xf numFmtId="49" fontId="4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3DEDD"/>
      <color rgb="FFFEE1FF"/>
      <color rgb="FFCFEDD4"/>
      <color rgb="FFFFFFE1"/>
      <color rgb="FFFFFFCC"/>
      <color rgb="FFBBE5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Togari Group Metasediments </a:t>
            </a:r>
          </a:p>
          <a:p>
            <a:pPr>
              <a:defRPr/>
            </a:pPr>
            <a:r>
              <a:rPr lang="en-US"/>
              <a:t>Site 5/5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Togari Group Metasediments</c:v>
          </c:tx>
          <c:invertIfNegative val="0"/>
          <c:cat>
            <c:strRef>
              <c:f>Togari_Slt!$E$7:$E$18</c:f>
              <c:strCache>
                <c:ptCount val="12"/>
                <c:pt idx="0">
                  <c:v>&lt;0.10</c:v>
                </c:pt>
                <c:pt idx="1">
                  <c:v>0.1-0.2</c:v>
                </c:pt>
                <c:pt idx="2">
                  <c:v>0.2-0.3</c:v>
                </c:pt>
                <c:pt idx="3">
                  <c:v>0.3-0.4</c:v>
                </c:pt>
                <c:pt idx="4">
                  <c:v>0.4-0.5</c:v>
                </c:pt>
                <c:pt idx="5">
                  <c:v>0.5-0.6</c:v>
                </c:pt>
                <c:pt idx="6">
                  <c:v>0.6-0.7</c:v>
                </c:pt>
                <c:pt idx="7">
                  <c:v>0.7-0.8</c:v>
                </c:pt>
                <c:pt idx="8">
                  <c:v>0.8-0.9</c:v>
                </c:pt>
                <c:pt idx="9">
                  <c:v>0.9-1.0</c:v>
                </c:pt>
                <c:pt idx="10">
                  <c:v>1.0-1.1</c:v>
                </c:pt>
                <c:pt idx="11">
                  <c:v>&gt;1.1</c:v>
                </c:pt>
              </c:strCache>
            </c:strRef>
          </c:cat>
          <c:val>
            <c:numRef>
              <c:f>Togari_Slt!$F$7:$F$18</c:f>
              <c:numCache>
                <c:formatCode>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7161424"/>
        <c:axId val="877162512"/>
      </c:barChart>
      <c:catAx>
        <c:axId val="87716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Susceptibility 10</a:t>
                </a:r>
                <a:r>
                  <a:rPr lang="en-US" baseline="30000"/>
                  <a:t>-3</a:t>
                </a:r>
                <a:r>
                  <a:rPr lang="en-US"/>
                  <a:t> SI Units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77162512"/>
        <c:crosses val="autoZero"/>
        <c:auto val="1"/>
        <c:lblAlgn val="ctr"/>
        <c:lblOffset val="100"/>
        <c:noMultiLvlLbl val="0"/>
      </c:catAx>
      <c:valAx>
        <c:axId val="877162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877161424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 sz="1400"/>
              <a:t>Cooee Dolerite Susceptibilities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 sz="1200" b="1" i="0" u="none" strike="noStrike" baseline="0"/>
              <a:t>Log Cumulative Frequency </a:t>
            </a:r>
            <a:endParaRPr lang="en-AU"/>
          </a:p>
        </c:rich>
      </c:tx>
      <c:layout>
        <c:manualLayout>
          <c:xMode val="edge"/>
          <c:yMode val="edge"/>
          <c:x val="0.25000024811063726"/>
          <c:y val="3.04232902480966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31983415467985"/>
          <c:y val="0.15697174617878648"/>
          <c:w val="0.6412609628064786"/>
          <c:h val="0.69576742045647511"/>
        </c:manualLayout>
      </c:layout>
      <c:lineChart>
        <c:grouping val="standard"/>
        <c:varyColors val="0"/>
        <c:ser>
          <c:idx val="0"/>
          <c:order val="0"/>
          <c:tx>
            <c:v>Cooee Dolerite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Cooee_Dol!$G$7:$G$144</c:f>
              <c:numCache>
                <c:formatCode>0</c:formatCode>
                <c:ptCount val="138"/>
                <c:pt idx="0">
                  <c:v>0.72463768115942029</c:v>
                </c:pt>
                <c:pt idx="1">
                  <c:v>1.4492753623188406</c:v>
                </c:pt>
                <c:pt idx="2">
                  <c:v>2.1739130434782608</c:v>
                </c:pt>
                <c:pt idx="3">
                  <c:v>2.8985507246376812</c:v>
                </c:pt>
                <c:pt idx="4">
                  <c:v>3.6231884057971016</c:v>
                </c:pt>
                <c:pt idx="5">
                  <c:v>4.3478260869565215</c:v>
                </c:pt>
                <c:pt idx="6">
                  <c:v>5.0724637681159424</c:v>
                </c:pt>
                <c:pt idx="7">
                  <c:v>5.7971014492753623</c:v>
                </c:pt>
                <c:pt idx="8">
                  <c:v>6.5217391304347823</c:v>
                </c:pt>
                <c:pt idx="9">
                  <c:v>7.2463768115942031</c:v>
                </c:pt>
                <c:pt idx="10">
                  <c:v>7.9710144927536231</c:v>
                </c:pt>
                <c:pt idx="11">
                  <c:v>8.695652173913043</c:v>
                </c:pt>
                <c:pt idx="12">
                  <c:v>9.420289855072463</c:v>
                </c:pt>
                <c:pt idx="13">
                  <c:v>10.144927536231885</c:v>
                </c:pt>
                <c:pt idx="14">
                  <c:v>10.869565217391305</c:v>
                </c:pt>
                <c:pt idx="15">
                  <c:v>11.594202898550725</c:v>
                </c:pt>
                <c:pt idx="16">
                  <c:v>12.318840579710145</c:v>
                </c:pt>
                <c:pt idx="17">
                  <c:v>13.043478260869565</c:v>
                </c:pt>
                <c:pt idx="18">
                  <c:v>13.768115942028986</c:v>
                </c:pt>
                <c:pt idx="19">
                  <c:v>14.492753623188406</c:v>
                </c:pt>
                <c:pt idx="20">
                  <c:v>15.217391304347826</c:v>
                </c:pt>
                <c:pt idx="21">
                  <c:v>15.942028985507246</c:v>
                </c:pt>
                <c:pt idx="22">
                  <c:v>16.666666666666668</c:v>
                </c:pt>
                <c:pt idx="23">
                  <c:v>17.391304347826086</c:v>
                </c:pt>
                <c:pt idx="24">
                  <c:v>18.115942028985508</c:v>
                </c:pt>
                <c:pt idx="25">
                  <c:v>18.840579710144926</c:v>
                </c:pt>
                <c:pt idx="26">
                  <c:v>19.565217391304348</c:v>
                </c:pt>
                <c:pt idx="27">
                  <c:v>20.289855072463769</c:v>
                </c:pt>
                <c:pt idx="28">
                  <c:v>21.014492753623188</c:v>
                </c:pt>
                <c:pt idx="29">
                  <c:v>21.739130434782609</c:v>
                </c:pt>
                <c:pt idx="30">
                  <c:v>22.463768115942027</c:v>
                </c:pt>
                <c:pt idx="31">
                  <c:v>23.188405797101449</c:v>
                </c:pt>
                <c:pt idx="32">
                  <c:v>23.913043478260871</c:v>
                </c:pt>
                <c:pt idx="33">
                  <c:v>24.637681159420289</c:v>
                </c:pt>
                <c:pt idx="34">
                  <c:v>25.362318840579711</c:v>
                </c:pt>
                <c:pt idx="35">
                  <c:v>26.086956521739129</c:v>
                </c:pt>
                <c:pt idx="36">
                  <c:v>26.811594202898551</c:v>
                </c:pt>
                <c:pt idx="37">
                  <c:v>27.536231884057973</c:v>
                </c:pt>
                <c:pt idx="38">
                  <c:v>28.260869565217391</c:v>
                </c:pt>
                <c:pt idx="39">
                  <c:v>28.985507246376812</c:v>
                </c:pt>
                <c:pt idx="40">
                  <c:v>29.710144927536231</c:v>
                </c:pt>
                <c:pt idx="41">
                  <c:v>30.434782608695652</c:v>
                </c:pt>
                <c:pt idx="42">
                  <c:v>31.159420289855074</c:v>
                </c:pt>
                <c:pt idx="43">
                  <c:v>31.884057971014492</c:v>
                </c:pt>
                <c:pt idx="44">
                  <c:v>32.608695652173914</c:v>
                </c:pt>
                <c:pt idx="45">
                  <c:v>33.333333333333336</c:v>
                </c:pt>
                <c:pt idx="46">
                  <c:v>34.05797101449275</c:v>
                </c:pt>
                <c:pt idx="47">
                  <c:v>34.782608695652172</c:v>
                </c:pt>
                <c:pt idx="48">
                  <c:v>35.507246376811594</c:v>
                </c:pt>
                <c:pt idx="49">
                  <c:v>36.231884057971016</c:v>
                </c:pt>
                <c:pt idx="50">
                  <c:v>36.956521739130437</c:v>
                </c:pt>
                <c:pt idx="51">
                  <c:v>37.681159420289852</c:v>
                </c:pt>
                <c:pt idx="52">
                  <c:v>38.405797101449274</c:v>
                </c:pt>
                <c:pt idx="53">
                  <c:v>39.130434782608695</c:v>
                </c:pt>
                <c:pt idx="54">
                  <c:v>39.855072463768117</c:v>
                </c:pt>
                <c:pt idx="55">
                  <c:v>40.579710144927539</c:v>
                </c:pt>
                <c:pt idx="56">
                  <c:v>41.304347826086953</c:v>
                </c:pt>
                <c:pt idx="57">
                  <c:v>42.028985507246375</c:v>
                </c:pt>
                <c:pt idx="58">
                  <c:v>42.753623188405797</c:v>
                </c:pt>
                <c:pt idx="59">
                  <c:v>43.478260869565219</c:v>
                </c:pt>
                <c:pt idx="60">
                  <c:v>44.20289855072464</c:v>
                </c:pt>
                <c:pt idx="61">
                  <c:v>44.927536231884055</c:v>
                </c:pt>
                <c:pt idx="62">
                  <c:v>45.652173913043477</c:v>
                </c:pt>
                <c:pt idx="63">
                  <c:v>46.376811594202898</c:v>
                </c:pt>
                <c:pt idx="64">
                  <c:v>47.10144927536232</c:v>
                </c:pt>
                <c:pt idx="65">
                  <c:v>47.826086956521742</c:v>
                </c:pt>
                <c:pt idx="66">
                  <c:v>48.550724637681157</c:v>
                </c:pt>
                <c:pt idx="67">
                  <c:v>49.275362318840578</c:v>
                </c:pt>
                <c:pt idx="68">
                  <c:v>50</c:v>
                </c:pt>
                <c:pt idx="69">
                  <c:v>50.724637681159422</c:v>
                </c:pt>
                <c:pt idx="70">
                  <c:v>51.449275362318843</c:v>
                </c:pt>
                <c:pt idx="71">
                  <c:v>52.173913043478258</c:v>
                </c:pt>
                <c:pt idx="72">
                  <c:v>52.89855072463768</c:v>
                </c:pt>
                <c:pt idx="73">
                  <c:v>53.623188405797102</c:v>
                </c:pt>
                <c:pt idx="74">
                  <c:v>54.347826086956523</c:v>
                </c:pt>
                <c:pt idx="75">
                  <c:v>55.072463768115945</c:v>
                </c:pt>
                <c:pt idx="76">
                  <c:v>55.79710144927536</c:v>
                </c:pt>
                <c:pt idx="77">
                  <c:v>56.521739130434781</c:v>
                </c:pt>
                <c:pt idx="78">
                  <c:v>57.246376811594203</c:v>
                </c:pt>
                <c:pt idx="79">
                  <c:v>57.971014492753625</c:v>
                </c:pt>
                <c:pt idx="80">
                  <c:v>58.695652173913047</c:v>
                </c:pt>
                <c:pt idx="81">
                  <c:v>59.420289855072461</c:v>
                </c:pt>
                <c:pt idx="82">
                  <c:v>60.144927536231883</c:v>
                </c:pt>
                <c:pt idx="83">
                  <c:v>60.869565217391305</c:v>
                </c:pt>
                <c:pt idx="84">
                  <c:v>61.594202898550726</c:v>
                </c:pt>
                <c:pt idx="85">
                  <c:v>62.318840579710148</c:v>
                </c:pt>
                <c:pt idx="86">
                  <c:v>63.043478260869563</c:v>
                </c:pt>
                <c:pt idx="87">
                  <c:v>63.768115942028984</c:v>
                </c:pt>
                <c:pt idx="88">
                  <c:v>64.492753623188406</c:v>
                </c:pt>
                <c:pt idx="89">
                  <c:v>65.217391304347828</c:v>
                </c:pt>
                <c:pt idx="90">
                  <c:v>65.94202898550725</c:v>
                </c:pt>
                <c:pt idx="91">
                  <c:v>66.666666666666671</c:v>
                </c:pt>
                <c:pt idx="92">
                  <c:v>67.391304347826093</c:v>
                </c:pt>
                <c:pt idx="93">
                  <c:v>68.115942028985501</c:v>
                </c:pt>
                <c:pt idx="94">
                  <c:v>68.840579710144922</c:v>
                </c:pt>
                <c:pt idx="95">
                  <c:v>69.565217391304344</c:v>
                </c:pt>
                <c:pt idx="96">
                  <c:v>70.289855072463766</c:v>
                </c:pt>
                <c:pt idx="97">
                  <c:v>71.014492753623188</c:v>
                </c:pt>
                <c:pt idx="98">
                  <c:v>71.739130434782609</c:v>
                </c:pt>
                <c:pt idx="99">
                  <c:v>72.463768115942031</c:v>
                </c:pt>
                <c:pt idx="100">
                  <c:v>73.188405797101453</c:v>
                </c:pt>
                <c:pt idx="101">
                  <c:v>73.913043478260875</c:v>
                </c:pt>
                <c:pt idx="102">
                  <c:v>74.637681159420296</c:v>
                </c:pt>
                <c:pt idx="103">
                  <c:v>75.362318840579704</c:v>
                </c:pt>
                <c:pt idx="104">
                  <c:v>76.086956521739125</c:v>
                </c:pt>
                <c:pt idx="105">
                  <c:v>76.811594202898547</c:v>
                </c:pt>
                <c:pt idx="106">
                  <c:v>77.536231884057969</c:v>
                </c:pt>
                <c:pt idx="107">
                  <c:v>78.260869565217391</c:v>
                </c:pt>
                <c:pt idx="108">
                  <c:v>78.985507246376812</c:v>
                </c:pt>
                <c:pt idx="109">
                  <c:v>79.710144927536234</c:v>
                </c:pt>
                <c:pt idx="110">
                  <c:v>80.434782608695656</c:v>
                </c:pt>
                <c:pt idx="111">
                  <c:v>81.159420289855078</c:v>
                </c:pt>
                <c:pt idx="112">
                  <c:v>81.884057971014499</c:v>
                </c:pt>
                <c:pt idx="113">
                  <c:v>82.608695652173907</c:v>
                </c:pt>
                <c:pt idx="114">
                  <c:v>83.333333333333329</c:v>
                </c:pt>
                <c:pt idx="115">
                  <c:v>84.05797101449275</c:v>
                </c:pt>
                <c:pt idx="116">
                  <c:v>84.782608695652172</c:v>
                </c:pt>
                <c:pt idx="117">
                  <c:v>85.507246376811594</c:v>
                </c:pt>
                <c:pt idx="118">
                  <c:v>86.231884057971016</c:v>
                </c:pt>
                <c:pt idx="119">
                  <c:v>86.956521739130437</c:v>
                </c:pt>
                <c:pt idx="120">
                  <c:v>87.681159420289859</c:v>
                </c:pt>
                <c:pt idx="121">
                  <c:v>88.405797101449281</c:v>
                </c:pt>
                <c:pt idx="122">
                  <c:v>89.130434782608702</c:v>
                </c:pt>
                <c:pt idx="123">
                  <c:v>89.85507246376811</c:v>
                </c:pt>
                <c:pt idx="124">
                  <c:v>90.579710144927532</c:v>
                </c:pt>
                <c:pt idx="125">
                  <c:v>91.304347826086953</c:v>
                </c:pt>
                <c:pt idx="126">
                  <c:v>92.028985507246375</c:v>
                </c:pt>
                <c:pt idx="127">
                  <c:v>92.753623188405797</c:v>
                </c:pt>
                <c:pt idx="128">
                  <c:v>93.478260869565219</c:v>
                </c:pt>
                <c:pt idx="129">
                  <c:v>94.20289855072464</c:v>
                </c:pt>
                <c:pt idx="130">
                  <c:v>94.927536231884062</c:v>
                </c:pt>
                <c:pt idx="131">
                  <c:v>95.652173913043484</c:v>
                </c:pt>
                <c:pt idx="132">
                  <c:v>96.376811594202906</c:v>
                </c:pt>
                <c:pt idx="133">
                  <c:v>97.101449275362313</c:v>
                </c:pt>
                <c:pt idx="134">
                  <c:v>97.826086956521735</c:v>
                </c:pt>
                <c:pt idx="135">
                  <c:v>98.550724637681157</c:v>
                </c:pt>
                <c:pt idx="136">
                  <c:v>99.275362318840578</c:v>
                </c:pt>
                <c:pt idx="137">
                  <c:v>100</c:v>
                </c:pt>
              </c:numCache>
            </c:numRef>
          </c:cat>
          <c:val>
            <c:numRef>
              <c:f>Cooee_Dol!$K$7:$K$144</c:f>
              <c:numCache>
                <c:formatCode>General</c:formatCode>
                <c:ptCount val="138"/>
                <c:pt idx="0">
                  <c:v>0.10037054511756291</c:v>
                </c:pt>
                <c:pt idx="1">
                  <c:v>0.11727129565576427</c:v>
                </c:pt>
                <c:pt idx="2">
                  <c:v>0.12385164096708581</c:v>
                </c:pt>
                <c:pt idx="3">
                  <c:v>0.12710479836480765</c:v>
                </c:pt>
                <c:pt idx="4">
                  <c:v>0.13033376849500614</c:v>
                </c:pt>
                <c:pt idx="5">
                  <c:v>0.13353890837021748</c:v>
                </c:pt>
                <c:pt idx="6">
                  <c:v>0.13672056715640679</c:v>
                </c:pt>
                <c:pt idx="7">
                  <c:v>0.13672056715640679</c:v>
                </c:pt>
                <c:pt idx="8">
                  <c:v>0.13987908640123647</c:v>
                </c:pt>
                <c:pt idx="9">
                  <c:v>0.13987908640123647</c:v>
                </c:pt>
                <c:pt idx="10">
                  <c:v>0.13987908640123647</c:v>
                </c:pt>
                <c:pt idx="11">
                  <c:v>0.14301480025409513</c:v>
                </c:pt>
                <c:pt idx="12">
                  <c:v>0.14301480025409513</c:v>
                </c:pt>
                <c:pt idx="13">
                  <c:v>0.14301480025409513</c:v>
                </c:pt>
                <c:pt idx="14">
                  <c:v>0.14612803567823801</c:v>
                </c:pt>
                <c:pt idx="15">
                  <c:v>0.14612803567823801</c:v>
                </c:pt>
                <c:pt idx="16">
                  <c:v>0.14612803567823801</c:v>
                </c:pt>
                <c:pt idx="17">
                  <c:v>0.14612803567823801</c:v>
                </c:pt>
                <c:pt idx="18">
                  <c:v>0.14612803567823801</c:v>
                </c:pt>
                <c:pt idx="19">
                  <c:v>0.14612803567823801</c:v>
                </c:pt>
                <c:pt idx="20">
                  <c:v>0.14612803567823801</c:v>
                </c:pt>
                <c:pt idx="21">
                  <c:v>0.14612803567823801</c:v>
                </c:pt>
                <c:pt idx="22">
                  <c:v>0.14612803567823801</c:v>
                </c:pt>
                <c:pt idx="23">
                  <c:v>0.14921911265537988</c:v>
                </c:pt>
                <c:pt idx="24">
                  <c:v>0.14921911265537988</c:v>
                </c:pt>
                <c:pt idx="25">
                  <c:v>0.14921911265537988</c:v>
                </c:pt>
                <c:pt idx="26">
                  <c:v>0.14921911265537988</c:v>
                </c:pt>
                <c:pt idx="27">
                  <c:v>0.14921911265537988</c:v>
                </c:pt>
                <c:pt idx="28">
                  <c:v>0.14921911265537988</c:v>
                </c:pt>
                <c:pt idx="29">
                  <c:v>0.14921911265537988</c:v>
                </c:pt>
                <c:pt idx="30">
                  <c:v>0.15228834438305647</c:v>
                </c:pt>
                <c:pt idx="31">
                  <c:v>0.15228834438305647</c:v>
                </c:pt>
                <c:pt idx="32">
                  <c:v>0.15228834438305647</c:v>
                </c:pt>
                <c:pt idx="33">
                  <c:v>0.15228834438305647</c:v>
                </c:pt>
                <c:pt idx="34">
                  <c:v>0.1553360374650618</c:v>
                </c:pt>
                <c:pt idx="35">
                  <c:v>0.1553360374650618</c:v>
                </c:pt>
                <c:pt idx="36">
                  <c:v>0.1553360374650618</c:v>
                </c:pt>
                <c:pt idx="37">
                  <c:v>0.1553360374650618</c:v>
                </c:pt>
                <c:pt idx="38">
                  <c:v>0.15836249209524964</c:v>
                </c:pt>
                <c:pt idx="39">
                  <c:v>0.15836249209524964</c:v>
                </c:pt>
                <c:pt idx="40">
                  <c:v>0.16136800223497488</c:v>
                </c:pt>
                <c:pt idx="41">
                  <c:v>0.16136800223497488</c:v>
                </c:pt>
                <c:pt idx="42">
                  <c:v>0.16435285578443709</c:v>
                </c:pt>
                <c:pt idx="43">
                  <c:v>0.16435285578443709</c:v>
                </c:pt>
                <c:pt idx="44">
                  <c:v>0.16435285578443709</c:v>
                </c:pt>
                <c:pt idx="45">
                  <c:v>0.16731733474817609</c:v>
                </c:pt>
                <c:pt idx="46">
                  <c:v>0.16731733474817609</c:v>
                </c:pt>
                <c:pt idx="47">
                  <c:v>0.16731733474817609</c:v>
                </c:pt>
                <c:pt idx="48">
                  <c:v>0.16731733474817609</c:v>
                </c:pt>
                <c:pt idx="49">
                  <c:v>0.16731733474817609</c:v>
                </c:pt>
                <c:pt idx="50">
                  <c:v>0.16731733474817609</c:v>
                </c:pt>
                <c:pt idx="51">
                  <c:v>0.16731733474817609</c:v>
                </c:pt>
                <c:pt idx="52">
                  <c:v>0.16731733474817609</c:v>
                </c:pt>
                <c:pt idx="53">
                  <c:v>0.17026171539495738</c:v>
                </c:pt>
                <c:pt idx="54">
                  <c:v>0.17026171539495738</c:v>
                </c:pt>
                <c:pt idx="55">
                  <c:v>0.17026171539495738</c:v>
                </c:pt>
                <c:pt idx="56">
                  <c:v>0.17318626841227402</c:v>
                </c:pt>
                <c:pt idx="57">
                  <c:v>0.17318626841227402</c:v>
                </c:pt>
                <c:pt idx="58">
                  <c:v>0.17609125905568124</c:v>
                </c:pt>
                <c:pt idx="59">
                  <c:v>0.17609125905568124</c:v>
                </c:pt>
                <c:pt idx="60">
                  <c:v>0.17897694729316943</c:v>
                </c:pt>
                <c:pt idx="61">
                  <c:v>0.17897694729316943</c:v>
                </c:pt>
                <c:pt idx="62">
                  <c:v>0.17897694729316943</c:v>
                </c:pt>
                <c:pt idx="63">
                  <c:v>0.17897694729316943</c:v>
                </c:pt>
                <c:pt idx="64">
                  <c:v>0.18184358794477254</c:v>
                </c:pt>
                <c:pt idx="65">
                  <c:v>0.18184358794477254</c:v>
                </c:pt>
                <c:pt idx="66">
                  <c:v>0.18469143081759881</c:v>
                </c:pt>
                <c:pt idx="67">
                  <c:v>0.18752072083646307</c:v>
                </c:pt>
                <c:pt idx="68">
                  <c:v>0.18752072083646307</c:v>
                </c:pt>
                <c:pt idx="69">
                  <c:v>0.1903316981702915</c:v>
                </c:pt>
                <c:pt idx="70">
                  <c:v>0.1903316981702915</c:v>
                </c:pt>
                <c:pt idx="71">
                  <c:v>0.1903316981702915</c:v>
                </c:pt>
                <c:pt idx="72">
                  <c:v>0.1903316981702915</c:v>
                </c:pt>
                <c:pt idx="73">
                  <c:v>0.1903316981702915</c:v>
                </c:pt>
                <c:pt idx="74">
                  <c:v>0.19312459835446161</c:v>
                </c:pt>
                <c:pt idx="75">
                  <c:v>0.19312459835446161</c:v>
                </c:pt>
                <c:pt idx="76">
                  <c:v>0.19312459835446161</c:v>
                </c:pt>
                <c:pt idx="77">
                  <c:v>0.19589965240923368</c:v>
                </c:pt>
                <c:pt idx="78">
                  <c:v>0.19589965240923368</c:v>
                </c:pt>
                <c:pt idx="79">
                  <c:v>0.19589965240923368</c:v>
                </c:pt>
                <c:pt idx="80">
                  <c:v>0.19589965240923368</c:v>
                </c:pt>
                <c:pt idx="81">
                  <c:v>0.19589965240923368</c:v>
                </c:pt>
                <c:pt idx="82">
                  <c:v>0.19865708695442263</c:v>
                </c:pt>
                <c:pt idx="83">
                  <c:v>0.19865708695442263</c:v>
                </c:pt>
                <c:pt idx="84">
                  <c:v>0.19865708695442263</c:v>
                </c:pt>
                <c:pt idx="85">
                  <c:v>0.20139712432045145</c:v>
                </c:pt>
                <c:pt idx="86">
                  <c:v>0.20411998265592479</c:v>
                </c:pt>
                <c:pt idx="87">
                  <c:v>0.20411998265592479</c:v>
                </c:pt>
                <c:pt idx="88">
                  <c:v>0.20411998265592479</c:v>
                </c:pt>
                <c:pt idx="89">
                  <c:v>0.20951501454263097</c:v>
                </c:pt>
                <c:pt idx="90">
                  <c:v>0.20951501454263097</c:v>
                </c:pt>
                <c:pt idx="91">
                  <c:v>0.21218760440395779</c:v>
                </c:pt>
                <c:pt idx="92">
                  <c:v>0.21484384804769791</c:v>
                </c:pt>
                <c:pt idx="93">
                  <c:v>0.21748394421390627</c:v>
                </c:pt>
                <c:pt idx="94">
                  <c:v>0.22271647114758325</c:v>
                </c:pt>
                <c:pt idx="95">
                  <c:v>0.2253092817258629</c:v>
                </c:pt>
                <c:pt idx="96">
                  <c:v>0.22788670461367352</c:v>
                </c:pt>
                <c:pt idx="97">
                  <c:v>0.22788670461367352</c:v>
                </c:pt>
                <c:pt idx="98">
                  <c:v>0.22788670461367352</c:v>
                </c:pt>
                <c:pt idx="99">
                  <c:v>0.23044892137827391</c:v>
                </c:pt>
                <c:pt idx="100">
                  <c:v>0.23299611039215382</c:v>
                </c:pt>
                <c:pt idx="101">
                  <c:v>0.24054924828259971</c:v>
                </c:pt>
                <c:pt idx="102">
                  <c:v>0.24054924828259971</c:v>
                </c:pt>
                <c:pt idx="103">
                  <c:v>0.24303804868629444</c:v>
                </c:pt>
                <c:pt idx="104">
                  <c:v>0.24551266781414982</c:v>
                </c:pt>
                <c:pt idx="105">
                  <c:v>0.24551266781414982</c:v>
                </c:pt>
                <c:pt idx="106">
                  <c:v>0.2528530309798932</c:v>
                </c:pt>
                <c:pt idx="107">
                  <c:v>0.2528530309798932</c:v>
                </c:pt>
                <c:pt idx="108">
                  <c:v>0.25527250510330607</c:v>
                </c:pt>
                <c:pt idx="109">
                  <c:v>0.2576785748691845</c:v>
                </c:pt>
                <c:pt idx="110">
                  <c:v>0.28555730900777382</c:v>
                </c:pt>
                <c:pt idx="111">
                  <c:v>0.29225607135647602</c:v>
                </c:pt>
                <c:pt idx="112">
                  <c:v>0.33041377334919075</c:v>
                </c:pt>
                <c:pt idx="113">
                  <c:v>0.33845649360460478</c:v>
                </c:pt>
                <c:pt idx="114">
                  <c:v>0.35024801833416286</c:v>
                </c:pt>
                <c:pt idx="115">
                  <c:v>0.35024801833416286</c:v>
                </c:pt>
                <c:pt idx="116">
                  <c:v>0.36548798489089973</c:v>
                </c:pt>
                <c:pt idx="117">
                  <c:v>0.36548798489089973</c:v>
                </c:pt>
                <c:pt idx="118">
                  <c:v>0.37291200297010663</c:v>
                </c:pt>
                <c:pt idx="119">
                  <c:v>0.38560627359831212</c:v>
                </c:pt>
                <c:pt idx="120">
                  <c:v>0.38560627359831212</c:v>
                </c:pt>
                <c:pt idx="121">
                  <c:v>0.3961993470957364</c:v>
                </c:pt>
                <c:pt idx="122">
                  <c:v>0.40312052117581798</c:v>
                </c:pt>
                <c:pt idx="123">
                  <c:v>0.40654018043395512</c:v>
                </c:pt>
                <c:pt idx="124">
                  <c:v>0.40654018043395512</c:v>
                </c:pt>
                <c:pt idx="125">
                  <c:v>0.41995574848975786</c:v>
                </c:pt>
                <c:pt idx="126">
                  <c:v>0.42975228000240795</c:v>
                </c:pt>
                <c:pt idx="127">
                  <c:v>0.44870631990507992</c:v>
                </c:pt>
                <c:pt idx="128">
                  <c:v>0.46538285144841829</c:v>
                </c:pt>
                <c:pt idx="129">
                  <c:v>0.46982201597816303</c:v>
                </c:pt>
                <c:pt idx="130">
                  <c:v>0.47421626407625522</c:v>
                </c:pt>
                <c:pt idx="131">
                  <c:v>0.48429983934678583</c:v>
                </c:pt>
                <c:pt idx="132">
                  <c:v>0.49968708261840383</c:v>
                </c:pt>
                <c:pt idx="133">
                  <c:v>0.50242711998443268</c:v>
                </c:pt>
                <c:pt idx="134">
                  <c:v>0.50379068305718111</c:v>
                </c:pt>
                <c:pt idx="135">
                  <c:v>0.51719589794997434</c:v>
                </c:pt>
                <c:pt idx="136">
                  <c:v>0.57170883180868759</c:v>
                </c:pt>
                <c:pt idx="137">
                  <c:v>0.63648789635336545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0881600"/>
        <c:axId val="880882688"/>
      </c:lineChart>
      <c:catAx>
        <c:axId val="88088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Percent</a:t>
                </a:r>
              </a:p>
            </c:rich>
          </c:tx>
          <c:layout>
            <c:manualLayout>
              <c:xMode val="edge"/>
              <c:yMode val="edge"/>
              <c:x val="0.43292725892329931"/>
              <c:y val="0.9232807214422341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0882688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880882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Log Cumulative Frequency</a:t>
                </a:r>
              </a:p>
            </c:rich>
          </c:tx>
          <c:layout>
            <c:manualLayout>
              <c:xMode val="edge"/>
              <c:yMode val="edge"/>
              <c:x val="2.2357745765992011E-2"/>
              <c:y val="0.312169412980472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0881600"/>
        <c:crosses val="autoZero"/>
        <c:crossBetween val="between"/>
      </c:valAx>
      <c:spPr>
        <a:solidFill>
          <a:schemeClr val="bg2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610772671891768"/>
          <c:y val="0.47780893932376323"/>
          <c:w val="0.23502373115600741"/>
          <c:h val="0.1005291005291005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60000"/>
            <a:lumOff val="40000"/>
          </a:scheme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  <a:ln w="3175">
      <a:noFill/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Cooee Dolerite</c:v>
          </c:tx>
          <c:invertIfNegative val="0"/>
          <c:cat>
            <c:strRef>
              <c:f>Cooee_Dol!$D$8:$D$26</c:f>
              <c:strCache>
                <c:ptCount val="19"/>
                <c:pt idx="0">
                  <c:v>0.2-0.3</c:v>
                </c:pt>
                <c:pt idx="1">
                  <c:v>0.3-0.4</c:v>
                </c:pt>
                <c:pt idx="2">
                  <c:v>0.4-0.5</c:v>
                </c:pt>
                <c:pt idx="3">
                  <c:v>0.5-0.6</c:v>
                </c:pt>
                <c:pt idx="4">
                  <c:v>0.6-0.7</c:v>
                </c:pt>
                <c:pt idx="5">
                  <c:v>0.7-0.8</c:v>
                </c:pt>
                <c:pt idx="6">
                  <c:v>0.8-0.9</c:v>
                </c:pt>
                <c:pt idx="7">
                  <c:v>0.9-1.0</c:v>
                </c:pt>
                <c:pt idx="8">
                  <c:v>1.0-1.1</c:v>
                </c:pt>
                <c:pt idx="9">
                  <c:v>1.1-1.2</c:v>
                </c:pt>
                <c:pt idx="10">
                  <c:v>1.2-1.3</c:v>
                </c:pt>
                <c:pt idx="11">
                  <c:v>1.3-1.4</c:v>
                </c:pt>
                <c:pt idx="12">
                  <c:v>1.4-1.5</c:v>
                </c:pt>
                <c:pt idx="13">
                  <c:v>1.5-1.6</c:v>
                </c:pt>
                <c:pt idx="14">
                  <c:v>1.6-1.7</c:v>
                </c:pt>
                <c:pt idx="15">
                  <c:v>1.7-1.8</c:v>
                </c:pt>
                <c:pt idx="16">
                  <c:v>1.8-1.9</c:v>
                </c:pt>
                <c:pt idx="17">
                  <c:v>1.9-2.0</c:v>
                </c:pt>
                <c:pt idx="18">
                  <c:v>&gt;2.0</c:v>
                </c:pt>
              </c:strCache>
            </c:strRef>
          </c:cat>
          <c:val>
            <c:numRef>
              <c:f>Cooee_Dol!$E$8:$E$26</c:f>
              <c:numCache>
                <c:formatCode>General</c:formatCode>
                <c:ptCount val="19"/>
                <c:pt idx="0">
                  <c:v>1</c:v>
                </c:pt>
                <c:pt idx="1">
                  <c:v>13</c:v>
                </c:pt>
                <c:pt idx="2">
                  <c:v>44</c:v>
                </c:pt>
                <c:pt idx="3">
                  <c:v>28</c:v>
                </c:pt>
                <c:pt idx="4">
                  <c:v>52</c:v>
                </c:pt>
                <c:pt idx="5">
                  <c:v>9</c:v>
                </c:pt>
                <c:pt idx="6">
                  <c:v>2</c:v>
                </c:pt>
                <c:pt idx="7">
                  <c:v>2</c:v>
                </c:pt>
                <c:pt idx="8">
                  <c:v>0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0</c:v>
                </c:pt>
                <c:pt idx="16">
                  <c:v>1</c:v>
                </c:pt>
                <c:pt idx="17">
                  <c:v>3</c:v>
                </c:pt>
                <c:pt idx="18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738368"/>
        <c:axId val="881742720"/>
      </c:barChart>
      <c:catAx>
        <c:axId val="88173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Susceptibility x 1</a:t>
                </a:r>
                <a:r>
                  <a:rPr lang="en-AU" sz="1000" b="1" i="0" baseline="0"/>
                  <a:t>0</a:t>
                </a:r>
                <a:r>
                  <a:rPr lang="en-AU" sz="1000" b="1" i="0" baseline="30000"/>
                  <a:t>-3</a:t>
                </a:r>
                <a:r>
                  <a:rPr lang="en-US" sz="1000" b="1" i="0" baseline="0"/>
                  <a:t> SI units  </a:t>
                </a:r>
                <a:endParaRPr lang="en-AU" sz="1000" b="1" i="0" baseline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881742720"/>
        <c:crosses val="autoZero"/>
        <c:auto val="1"/>
        <c:lblAlgn val="ctr"/>
        <c:lblOffset val="100"/>
        <c:noMultiLvlLbl val="0"/>
      </c:catAx>
      <c:valAx>
        <c:axId val="881742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1738368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egendEntry>
        <c:idx val="0"/>
        <c:txPr>
          <a:bodyPr/>
          <a:lstStyle/>
          <a:p>
            <a:pPr>
              <a:defRPr b="1" baseline="0">
                <a:latin typeface="Arial" pitchFamily="34" charset="0"/>
                <a:cs typeface="Arial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77960887760566933"/>
          <c:y val="0.52925761490029855"/>
          <c:w val="0.1950895466966267"/>
          <c:h val="0.12999180112309144"/>
        </c:manualLayout>
      </c:layout>
      <c:overlay val="0"/>
      <c:txPr>
        <a:bodyPr/>
        <a:lstStyle/>
        <a:p>
          <a:pPr>
            <a:defRPr b="1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gradFill>
      <a:gsLst>
        <a:gs pos="0">
          <a:srgbClr val="4F81BD">
            <a:lumMod val="60000"/>
            <a:lumOff val="4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Motton Spillite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Motton Spillite East</c:v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dLbls>
            <c:delete val="1"/>
          </c:dLbls>
          <c:cat>
            <c:numRef>
              <c:f>Mottn_Spil!$M$5:$M$109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</c:numCache>
            </c:numRef>
          </c:cat>
          <c:val>
            <c:numRef>
              <c:f>Mottn_Spil!$AG$5:$AG$100</c:f>
              <c:numCache>
                <c:formatCode>General</c:formatCode>
                <c:ptCount val="96"/>
                <c:pt idx="0">
                  <c:v>1.7895807121644254</c:v>
                </c:pt>
                <c:pt idx="1">
                  <c:v>1.7450747915820575</c:v>
                </c:pt>
                <c:pt idx="2">
                  <c:v>1.6776069527204931</c:v>
                </c:pt>
                <c:pt idx="3">
                  <c:v>1.6394864892685861</c:v>
                </c:pt>
                <c:pt idx="4">
                  <c:v>1.6127838567197355</c:v>
                </c:pt>
                <c:pt idx="5">
                  <c:v>1.550228353055094</c:v>
                </c:pt>
                <c:pt idx="6">
                  <c:v>1.5289167002776547</c:v>
                </c:pt>
                <c:pt idx="7">
                  <c:v>1.5276299008713388</c:v>
                </c:pt>
                <c:pt idx="8">
                  <c:v>1.5145477526602862</c:v>
                </c:pt>
                <c:pt idx="9">
                  <c:v>1.507855871695831</c:v>
                </c:pt>
                <c:pt idx="10">
                  <c:v>1.4996870826184039</c:v>
                </c:pt>
                <c:pt idx="11">
                  <c:v>1.4871383754771865</c:v>
                </c:pt>
                <c:pt idx="12">
                  <c:v>1.4871383754771865</c:v>
                </c:pt>
                <c:pt idx="13">
                  <c:v>1.4828735836087537</c:v>
                </c:pt>
                <c:pt idx="14">
                  <c:v>1.4828735836087537</c:v>
                </c:pt>
                <c:pt idx="15">
                  <c:v>1.4785664955938433</c:v>
                </c:pt>
                <c:pt idx="16">
                  <c:v>1.4668676203541096</c:v>
                </c:pt>
                <c:pt idx="17">
                  <c:v>1.4638929889859074</c:v>
                </c:pt>
                <c:pt idx="18">
                  <c:v>1.4593924877592308</c:v>
                </c:pt>
                <c:pt idx="19">
                  <c:v>1.4593924877592308</c:v>
                </c:pt>
                <c:pt idx="20">
                  <c:v>1.4578818967339924</c:v>
                </c:pt>
                <c:pt idx="21">
                  <c:v>1.4409090820652177</c:v>
                </c:pt>
                <c:pt idx="22">
                  <c:v>1.4409090820652177</c:v>
                </c:pt>
                <c:pt idx="23">
                  <c:v>1.4377505628203879</c:v>
                </c:pt>
                <c:pt idx="24">
                  <c:v>1.436162647040756</c:v>
                </c:pt>
                <c:pt idx="25">
                  <c:v>1.4297522800024081</c:v>
                </c:pt>
                <c:pt idx="26">
                  <c:v>1.4297522800024081</c:v>
                </c:pt>
                <c:pt idx="27">
                  <c:v>1.4199557484897578</c:v>
                </c:pt>
                <c:pt idx="28">
                  <c:v>1.4116197059632303</c:v>
                </c:pt>
                <c:pt idx="29">
                  <c:v>1.4116197059632303</c:v>
                </c:pt>
                <c:pt idx="30">
                  <c:v>1.4014005407815442</c:v>
                </c:pt>
                <c:pt idx="31">
                  <c:v>1.3996737214810382</c:v>
                </c:pt>
                <c:pt idx="32">
                  <c:v>1.3891660843645324</c:v>
                </c:pt>
                <c:pt idx="33">
                  <c:v>1.3873898263387294</c:v>
                </c:pt>
                <c:pt idx="34">
                  <c:v>1.3838153659804313</c:v>
                </c:pt>
                <c:pt idx="35">
                  <c:v>1.3820170425748683</c:v>
                </c:pt>
                <c:pt idx="36">
                  <c:v>1.3820170425748683</c:v>
                </c:pt>
                <c:pt idx="37">
                  <c:v>1.3747483460101038</c:v>
                </c:pt>
                <c:pt idx="38">
                  <c:v>1.3729120029701065</c:v>
                </c:pt>
                <c:pt idx="39">
                  <c:v>1.3692158574101427</c:v>
                </c:pt>
                <c:pt idx="40">
                  <c:v>1.3673559210260189</c:v>
                </c:pt>
                <c:pt idx="41">
                  <c:v>1.3673559210260189</c:v>
                </c:pt>
                <c:pt idx="42">
                  <c:v>1.3654879848908996</c:v>
                </c:pt>
                <c:pt idx="43">
                  <c:v>1.3636119798921444</c:v>
                </c:pt>
                <c:pt idx="44">
                  <c:v>1.3636119798921444</c:v>
                </c:pt>
                <c:pt idx="45">
                  <c:v>1.3636119798921444</c:v>
                </c:pt>
                <c:pt idx="46">
                  <c:v>1.3636119798921444</c:v>
                </c:pt>
                <c:pt idx="47">
                  <c:v>1.3617278360175928</c:v>
                </c:pt>
                <c:pt idx="48">
                  <c:v>1.3502480183341627</c:v>
                </c:pt>
                <c:pt idx="49">
                  <c:v>1.3502480183341627</c:v>
                </c:pt>
                <c:pt idx="50">
                  <c:v>1.3463529744506386</c:v>
                </c:pt>
                <c:pt idx="51">
                  <c:v>1.3463529744506386</c:v>
                </c:pt>
                <c:pt idx="52">
                  <c:v>1.3463529744506386</c:v>
                </c:pt>
                <c:pt idx="53">
                  <c:v>1.3463529744506386</c:v>
                </c:pt>
                <c:pt idx="54">
                  <c:v>1.3404441148401183</c:v>
                </c:pt>
                <c:pt idx="55">
                  <c:v>1.3384564936046048</c:v>
                </c:pt>
                <c:pt idx="56">
                  <c:v>1.3364597338485296</c:v>
                </c:pt>
                <c:pt idx="57">
                  <c:v>1.3283796034387378</c:v>
                </c:pt>
                <c:pt idx="58">
                  <c:v>1.3283796034387378</c:v>
                </c:pt>
                <c:pt idx="59">
                  <c:v>1.3138672203691535</c:v>
                </c:pt>
                <c:pt idx="60">
                  <c:v>1.3117538610557542</c:v>
                </c:pt>
                <c:pt idx="61">
                  <c:v>1.3053513694466237</c:v>
                </c:pt>
                <c:pt idx="62">
                  <c:v>1.2922560713564761</c:v>
                </c:pt>
                <c:pt idx="63">
                  <c:v>1.2833012287035497</c:v>
                </c:pt>
                <c:pt idx="64">
                  <c:v>1.2741578492636798</c:v>
                </c:pt>
                <c:pt idx="65">
                  <c:v>1.271841606536499</c:v>
                </c:pt>
                <c:pt idx="66">
                  <c:v>1.271841606536499</c:v>
                </c:pt>
                <c:pt idx="67">
                  <c:v>1.255272505103306</c:v>
                </c:pt>
                <c:pt idx="68">
                  <c:v>1.2504200023088941</c:v>
                </c:pt>
                <c:pt idx="69">
                  <c:v>1.2479732663618066</c:v>
                </c:pt>
                <c:pt idx="70">
                  <c:v>1.2430380486862944</c:v>
                </c:pt>
                <c:pt idx="71">
                  <c:v>1.2405492482825997</c:v>
                </c:pt>
                <c:pt idx="72">
                  <c:v>1.2329961103921538</c:v>
                </c:pt>
                <c:pt idx="73">
                  <c:v>1.2227164711475833</c:v>
                </c:pt>
                <c:pt idx="74">
                  <c:v>1.1986570869544226</c:v>
                </c:pt>
                <c:pt idx="75">
                  <c:v>1.1846914308175989</c:v>
                </c:pt>
                <c:pt idx="76">
                  <c:v>1.1818435879447726</c:v>
                </c:pt>
                <c:pt idx="77">
                  <c:v>1.1760912590556813</c:v>
                </c:pt>
                <c:pt idx="78">
                  <c:v>1.173186268412274</c:v>
                </c:pt>
                <c:pt idx="79">
                  <c:v>1.1583624920952498</c:v>
                </c:pt>
                <c:pt idx="80">
                  <c:v>1.1553360374650619</c:v>
                </c:pt>
                <c:pt idx="81">
                  <c:v>1.1553360374650619</c:v>
                </c:pt>
                <c:pt idx="82">
                  <c:v>1.1522883443830565</c:v>
                </c:pt>
                <c:pt idx="83">
                  <c:v>1.1492191126553799</c:v>
                </c:pt>
                <c:pt idx="84">
                  <c:v>1.1430148002540952</c:v>
                </c:pt>
                <c:pt idx="85">
                  <c:v>1.1367205671564067</c:v>
                </c:pt>
                <c:pt idx="86">
                  <c:v>1.1303337684950061</c:v>
                </c:pt>
                <c:pt idx="87">
                  <c:v>1.1205739312058498</c:v>
                </c:pt>
                <c:pt idx="88">
                  <c:v>1.0934216851622351</c:v>
                </c:pt>
                <c:pt idx="89">
                  <c:v>1.0569048513364727</c:v>
                </c:pt>
                <c:pt idx="90">
                  <c:v>1.0224283711854865</c:v>
                </c:pt>
                <c:pt idx="91">
                  <c:v>1.0004340774793186</c:v>
                </c:pt>
                <c:pt idx="92">
                  <c:v>0.98317507203781296</c:v>
                </c:pt>
                <c:pt idx="93">
                  <c:v>0.83186977428050168</c:v>
                </c:pt>
                <c:pt idx="94">
                  <c:v>0.63848925695463732</c:v>
                </c:pt>
                <c:pt idx="95">
                  <c:v>0.22788670461367352</c:v>
                </c:pt>
              </c:numCache>
            </c:numRef>
          </c:val>
          <c:smooth val="0"/>
        </c:ser>
        <c:ser>
          <c:idx val="0"/>
          <c:order val="1"/>
          <c:tx>
            <c:v>Motton Spillite West</c:v>
          </c:tx>
          <c:spPr>
            <a:ln>
              <a:solidFill>
                <a:srgbClr val="C0504D"/>
              </a:solidFill>
            </a:ln>
          </c:spPr>
          <c:marker>
            <c:symbol val="none"/>
          </c:marker>
          <c:dLbls>
            <c:delete val="1"/>
          </c:dLbls>
          <c:cat>
            <c:numRef>
              <c:f>Mottn_Spil!$M$5:$M$109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</c:numCache>
            </c:numRef>
          </c:cat>
          <c:val>
            <c:numRef>
              <c:f>Mottn_Spil!$N$5:$N$109</c:f>
              <c:numCache>
                <c:formatCode>General</c:formatCode>
                <c:ptCount val="105"/>
                <c:pt idx="0">
                  <c:v>2.5276299008713385</c:v>
                </c:pt>
                <c:pt idx="1">
                  <c:v>1.916453948549925</c:v>
                </c:pt>
                <c:pt idx="2">
                  <c:v>1.8715729355458788</c:v>
                </c:pt>
                <c:pt idx="3">
                  <c:v>1.8444771757456815</c:v>
                </c:pt>
                <c:pt idx="4">
                  <c:v>1.6937269489236468</c:v>
                </c:pt>
                <c:pt idx="5">
                  <c:v>1.6848453616444126</c:v>
                </c:pt>
                <c:pt idx="6">
                  <c:v>1.6618126855372612</c:v>
                </c:pt>
                <c:pt idx="7">
                  <c:v>1.6283889300503116</c:v>
                </c:pt>
                <c:pt idx="8">
                  <c:v>1.5987905067631152</c:v>
                </c:pt>
                <c:pt idx="9">
                  <c:v>1.5809249756756194</c:v>
                </c:pt>
                <c:pt idx="10">
                  <c:v>1.5314789170422551</c:v>
                </c:pt>
                <c:pt idx="11">
                  <c:v>1.4756711883244296</c:v>
                </c:pt>
                <c:pt idx="12">
                  <c:v>1.4668676203541096</c:v>
                </c:pt>
                <c:pt idx="13">
                  <c:v>1.3521825181113625</c:v>
                </c:pt>
                <c:pt idx="14">
                  <c:v>1.2764618041732441</c:v>
                </c:pt>
                <c:pt idx="15">
                  <c:v>1.2253092817258628</c:v>
                </c:pt>
                <c:pt idx="16">
                  <c:v>1.2174839442139063</c:v>
                </c:pt>
                <c:pt idx="17">
                  <c:v>1.110589710299249</c:v>
                </c:pt>
                <c:pt idx="18">
                  <c:v>1.0453229787866574</c:v>
                </c:pt>
                <c:pt idx="19">
                  <c:v>1.0216027160282422</c:v>
                </c:pt>
                <c:pt idx="20">
                  <c:v>1.0203612826477078</c:v>
                </c:pt>
                <c:pt idx="21">
                  <c:v>1.0111473607757975</c:v>
                </c:pt>
                <c:pt idx="22">
                  <c:v>0.99782308074572545</c:v>
                </c:pt>
                <c:pt idx="23">
                  <c:v>0.99431715266963672</c:v>
                </c:pt>
                <c:pt idx="24">
                  <c:v>0.98227123303956843</c:v>
                </c:pt>
                <c:pt idx="25">
                  <c:v>0.95375969173322883</c:v>
                </c:pt>
                <c:pt idx="26">
                  <c:v>0.8965262174895553</c:v>
                </c:pt>
                <c:pt idx="27">
                  <c:v>0.83821922190762577</c:v>
                </c:pt>
                <c:pt idx="28">
                  <c:v>0.81157500587059339</c:v>
                </c:pt>
                <c:pt idx="29">
                  <c:v>0.80482067872116236</c:v>
                </c:pt>
                <c:pt idx="30">
                  <c:v>0.78247262416628616</c:v>
                </c:pt>
                <c:pt idx="31">
                  <c:v>0.64933485871214192</c:v>
                </c:pt>
                <c:pt idx="32">
                  <c:v>0.60852603357719415</c:v>
                </c:pt>
                <c:pt idx="33">
                  <c:v>0.59549622182557416</c:v>
                </c:pt>
                <c:pt idx="34">
                  <c:v>0.56702636615906032</c:v>
                </c:pt>
                <c:pt idx="35">
                  <c:v>0.49136169383427269</c:v>
                </c:pt>
                <c:pt idx="36">
                  <c:v>0.48144262850230496</c:v>
                </c:pt>
                <c:pt idx="37">
                  <c:v>0.45939248775923086</c:v>
                </c:pt>
                <c:pt idx="38">
                  <c:v>0.43933269383026263</c:v>
                </c:pt>
                <c:pt idx="39">
                  <c:v>0.34242268082220628</c:v>
                </c:pt>
                <c:pt idx="40">
                  <c:v>0.34044411484011833</c:v>
                </c:pt>
                <c:pt idx="41">
                  <c:v>0.34044411484011833</c:v>
                </c:pt>
                <c:pt idx="42">
                  <c:v>0.3222192947339193</c:v>
                </c:pt>
                <c:pt idx="43">
                  <c:v>0.3222192947339193</c:v>
                </c:pt>
                <c:pt idx="44">
                  <c:v>0.30319605742048883</c:v>
                </c:pt>
                <c:pt idx="45">
                  <c:v>0.29885307640970665</c:v>
                </c:pt>
                <c:pt idx="46">
                  <c:v>0.24303804868629444</c:v>
                </c:pt>
                <c:pt idx="47">
                  <c:v>0.22788670461367352</c:v>
                </c:pt>
                <c:pt idx="48">
                  <c:v>0.21748394421390627</c:v>
                </c:pt>
                <c:pt idx="49">
                  <c:v>0.21484384804769791</c:v>
                </c:pt>
                <c:pt idx="50">
                  <c:v>0.20951501454263097</c:v>
                </c:pt>
                <c:pt idx="51">
                  <c:v>0.18469143081759881</c:v>
                </c:pt>
                <c:pt idx="52">
                  <c:v>0.18469143081759881</c:v>
                </c:pt>
                <c:pt idx="53">
                  <c:v>0.17318626841227402</c:v>
                </c:pt>
                <c:pt idx="54">
                  <c:v>0.17026171539495738</c:v>
                </c:pt>
                <c:pt idx="55">
                  <c:v>0.17026171539495738</c:v>
                </c:pt>
                <c:pt idx="56">
                  <c:v>0.16731733474817609</c:v>
                </c:pt>
                <c:pt idx="57">
                  <c:v>0.15228834438305647</c:v>
                </c:pt>
                <c:pt idx="58">
                  <c:v>0.15228834438305647</c:v>
                </c:pt>
                <c:pt idx="59">
                  <c:v>0.13987908640123647</c:v>
                </c:pt>
                <c:pt idx="60">
                  <c:v>0.13987908640123647</c:v>
                </c:pt>
                <c:pt idx="61">
                  <c:v>0.13987908640123647</c:v>
                </c:pt>
                <c:pt idx="62">
                  <c:v>0.13672056715640679</c:v>
                </c:pt>
                <c:pt idx="63">
                  <c:v>0.13672056715640679</c:v>
                </c:pt>
                <c:pt idx="64">
                  <c:v>0.13353890837021748</c:v>
                </c:pt>
                <c:pt idx="65">
                  <c:v>0.13353890837021748</c:v>
                </c:pt>
                <c:pt idx="66">
                  <c:v>0.13353890837021748</c:v>
                </c:pt>
                <c:pt idx="67">
                  <c:v>0.12057393120584989</c:v>
                </c:pt>
                <c:pt idx="68">
                  <c:v>0.12057393120584989</c:v>
                </c:pt>
                <c:pt idx="69">
                  <c:v>0.11727129565576427</c:v>
                </c:pt>
                <c:pt idx="70">
                  <c:v>0.11394335230683679</c:v>
                </c:pt>
                <c:pt idx="71">
                  <c:v>0.11394335230683679</c:v>
                </c:pt>
                <c:pt idx="72">
                  <c:v>0.11058971029924898</c:v>
                </c:pt>
                <c:pt idx="73">
                  <c:v>0.10720996964786837</c:v>
                </c:pt>
                <c:pt idx="74">
                  <c:v>0.10380372095595687</c:v>
                </c:pt>
                <c:pt idx="75">
                  <c:v>0.10380372095595687</c:v>
                </c:pt>
                <c:pt idx="76">
                  <c:v>0.10380372095595687</c:v>
                </c:pt>
                <c:pt idx="77">
                  <c:v>0.10037054511756291</c:v>
                </c:pt>
                <c:pt idx="78">
                  <c:v>9.691001300805642E-2</c:v>
                </c:pt>
                <c:pt idx="79">
                  <c:v>9.3421685162235063E-2</c:v>
                </c:pt>
                <c:pt idx="80">
                  <c:v>9.3421685162235063E-2</c:v>
                </c:pt>
                <c:pt idx="81">
                  <c:v>8.9905111439397931E-2</c:v>
                </c:pt>
                <c:pt idx="82">
                  <c:v>8.9905111439397931E-2</c:v>
                </c:pt>
                <c:pt idx="83">
                  <c:v>8.6359830674748214E-2</c:v>
                </c:pt>
                <c:pt idx="84">
                  <c:v>8.6359830674748214E-2</c:v>
                </c:pt>
                <c:pt idx="85">
                  <c:v>8.6359830674748214E-2</c:v>
                </c:pt>
                <c:pt idx="86">
                  <c:v>8.6359830674748214E-2</c:v>
                </c:pt>
                <c:pt idx="87">
                  <c:v>8.2785370316450071E-2</c:v>
                </c:pt>
                <c:pt idx="88">
                  <c:v>8.2785370316450071E-2</c:v>
                </c:pt>
                <c:pt idx="89">
                  <c:v>8.2785370316450071E-2</c:v>
                </c:pt>
                <c:pt idx="90">
                  <c:v>7.9181246047624818E-2</c:v>
                </c:pt>
                <c:pt idx="91">
                  <c:v>7.9181246047624818E-2</c:v>
                </c:pt>
                <c:pt idx="92">
                  <c:v>7.554696139253074E-2</c:v>
                </c:pt>
                <c:pt idx="93">
                  <c:v>7.554696139253074E-2</c:v>
                </c:pt>
                <c:pt idx="94">
                  <c:v>7.554696139253074E-2</c:v>
                </c:pt>
                <c:pt idx="95">
                  <c:v>6.8185861746161619E-2</c:v>
                </c:pt>
                <c:pt idx="96">
                  <c:v>6.8185861746161619E-2</c:v>
                </c:pt>
                <c:pt idx="97">
                  <c:v>6.069784035361165E-2</c:v>
                </c:pt>
                <c:pt idx="98">
                  <c:v>6.069784035361165E-2</c:v>
                </c:pt>
                <c:pt idx="99">
                  <c:v>5.6904851336472641E-2</c:v>
                </c:pt>
                <c:pt idx="100">
                  <c:v>5.6904851336472641E-2</c:v>
                </c:pt>
                <c:pt idx="101">
                  <c:v>5.6904851336472641E-2</c:v>
                </c:pt>
                <c:pt idx="102">
                  <c:v>4.9218022670181653E-2</c:v>
                </c:pt>
                <c:pt idx="103">
                  <c:v>4.1392685158225077E-2</c:v>
                </c:pt>
                <c:pt idx="104">
                  <c:v>4.1392685158225077E-2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881753056"/>
        <c:axId val="881750880"/>
      </c:lineChart>
      <c:catAx>
        <c:axId val="88175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81750880"/>
        <c:crossesAt val="0"/>
        <c:auto val="1"/>
        <c:lblAlgn val="ctr"/>
        <c:lblOffset val="100"/>
        <c:tickLblSkip val="10"/>
        <c:tickMarkSkip val="5"/>
        <c:noMultiLvlLbl val="0"/>
      </c:catAx>
      <c:valAx>
        <c:axId val="881750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81753056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Motton 'Spillite'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Sites 20/2 &amp; 21/2</c:v>
          </c:tx>
          <c:invertIfNegative val="0"/>
          <c:cat>
            <c:strRef>
              <c:f>Mottn_Spil!$AJ$5:$AJ$17</c:f>
              <c:strCache>
                <c:ptCount val="13"/>
                <c:pt idx="0">
                  <c:v>&lt;5</c:v>
                </c:pt>
                <c:pt idx="1">
                  <c:v>5-10</c:v>
                </c:pt>
                <c:pt idx="2">
                  <c:v>10-15</c:v>
                </c:pt>
                <c:pt idx="3">
                  <c:v>15-20</c:v>
                </c:pt>
                <c:pt idx="4">
                  <c:v>20-25</c:v>
                </c:pt>
                <c:pt idx="5">
                  <c:v>25-30</c:v>
                </c:pt>
                <c:pt idx="6">
                  <c:v>30-35</c:v>
                </c:pt>
                <c:pt idx="7">
                  <c:v>35-40</c:v>
                </c:pt>
                <c:pt idx="8">
                  <c:v>40-45</c:v>
                </c:pt>
                <c:pt idx="9">
                  <c:v>45-50</c:v>
                </c:pt>
                <c:pt idx="10">
                  <c:v>50-55</c:v>
                </c:pt>
                <c:pt idx="11">
                  <c:v>55-60</c:v>
                </c:pt>
                <c:pt idx="12">
                  <c:v>&gt;60</c:v>
                </c:pt>
              </c:strCache>
            </c:strRef>
          </c:cat>
          <c:val>
            <c:numRef>
              <c:f>Mottn_Spil!$AK$5:$AK$17</c:f>
              <c:numCache>
                <c:formatCode>General</c:formatCode>
                <c:ptCount val="13"/>
                <c:pt idx="0">
                  <c:v>2</c:v>
                </c:pt>
                <c:pt idx="1">
                  <c:v>4</c:v>
                </c:pt>
                <c:pt idx="2">
                  <c:v>16</c:v>
                </c:pt>
                <c:pt idx="3">
                  <c:v>15</c:v>
                </c:pt>
                <c:pt idx="4">
                  <c:v>31</c:v>
                </c:pt>
                <c:pt idx="5">
                  <c:v>17</c:v>
                </c:pt>
                <c:pt idx="6">
                  <c:v>6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</c:numCache>
            </c:numRef>
          </c:val>
        </c:ser>
        <c:ser>
          <c:idx val="1"/>
          <c:order val="1"/>
          <c:tx>
            <c:v>Site 7/3</c:v>
          </c:tx>
          <c:invertIfNegative val="0"/>
          <c:cat>
            <c:strRef>
              <c:f>Mottn_Spil!$AJ$5:$AJ$17</c:f>
              <c:strCache>
                <c:ptCount val="13"/>
                <c:pt idx="0">
                  <c:v>&lt;5</c:v>
                </c:pt>
                <c:pt idx="1">
                  <c:v>5-10</c:v>
                </c:pt>
                <c:pt idx="2">
                  <c:v>10-15</c:v>
                </c:pt>
                <c:pt idx="3">
                  <c:v>15-20</c:v>
                </c:pt>
                <c:pt idx="4">
                  <c:v>20-25</c:v>
                </c:pt>
                <c:pt idx="5">
                  <c:v>25-30</c:v>
                </c:pt>
                <c:pt idx="6">
                  <c:v>30-35</c:v>
                </c:pt>
                <c:pt idx="7">
                  <c:v>35-40</c:v>
                </c:pt>
                <c:pt idx="8">
                  <c:v>40-45</c:v>
                </c:pt>
                <c:pt idx="9">
                  <c:v>45-50</c:v>
                </c:pt>
                <c:pt idx="10">
                  <c:v>50-55</c:v>
                </c:pt>
                <c:pt idx="11">
                  <c:v>55-60</c:v>
                </c:pt>
                <c:pt idx="12">
                  <c:v>&gt;60</c:v>
                </c:pt>
              </c:strCache>
            </c:strRef>
          </c:cat>
          <c:val>
            <c:numRef>
              <c:f>Mottn_Spil!$AM$5:$AM$17</c:f>
              <c:numCache>
                <c:formatCode>General</c:formatCode>
                <c:ptCount val="13"/>
                <c:pt idx="0">
                  <c:v>74</c:v>
                </c:pt>
                <c:pt idx="1">
                  <c:v>12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745440"/>
        <c:axId val="881745984"/>
      </c:barChart>
      <c:catAx>
        <c:axId val="88174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 sz="1000" b="1" i="0" baseline="0"/>
                  <a:t>Susceptibility x 1</a:t>
                </a:r>
                <a:r>
                  <a:rPr lang="en-AU" sz="1000" b="1" i="0" baseline="0"/>
                  <a:t>0</a:t>
                </a:r>
                <a:r>
                  <a:rPr lang="en-AU" sz="1000" b="1" i="0" baseline="30000"/>
                  <a:t>-3</a:t>
                </a:r>
                <a:r>
                  <a:rPr lang="en-US" sz="1000" b="1" i="0" baseline="0"/>
                  <a:t> SI units  </a:t>
                </a:r>
                <a:endParaRPr lang="en-AU" sz="1000" b="1" i="0" baseline="0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881745984"/>
        <c:crosses val="autoZero"/>
        <c:auto val="1"/>
        <c:lblAlgn val="ctr"/>
        <c:lblOffset val="100"/>
        <c:noMultiLvlLbl val="0"/>
      </c:catAx>
      <c:valAx>
        <c:axId val="881745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1745440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311" l="0.70000000000000062" r="0.70000000000000062" t="0.75000000000000311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Motton Spillite West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West, 7/3</c:v>
          </c:tx>
          <c:spPr>
            <a:solidFill>
              <a:schemeClr val="accent2"/>
            </a:solidFill>
          </c:spPr>
          <c:invertIfNegative val="0"/>
          <c:cat>
            <c:strRef>
              <c:f>Mottn_Spil!$AJ$25:$AJ$63</c:f>
              <c:strCache>
                <c:ptCount val="39"/>
                <c:pt idx="0">
                  <c:v>0-0.2</c:v>
                </c:pt>
                <c:pt idx="1">
                  <c:v>0.2-0.4</c:v>
                </c:pt>
                <c:pt idx="2">
                  <c:v>0.4-0.6</c:v>
                </c:pt>
                <c:pt idx="3">
                  <c:v>0.6-0.8</c:v>
                </c:pt>
                <c:pt idx="4">
                  <c:v>0.0-1.0</c:v>
                </c:pt>
                <c:pt idx="5">
                  <c:v>1.0-1.2</c:v>
                </c:pt>
                <c:pt idx="6">
                  <c:v>1.2-1.4</c:v>
                </c:pt>
                <c:pt idx="7">
                  <c:v>1.4-1.6</c:v>
                </c:pt>
                <c:pt idx="8">
                  <c:v>1.6-1.8</c:v>
                </c:pt>
                <c:pt idx="9">
                  <c:v>1.8-2.0</c:v>
                </c:pt>
                <c:pt idx="10">
                  <c:v>2.0-2.2</c:v>
                </c:pt>
                <c:pt idx="11">
                  <c:v>2.2-2.4</c:v>
                </c:pt>
                <c:pt idx="12">
                  <c:v>2.4-2.6</c:v>
                </c:pt>
                <c:pt idx="13">
                  <c:v>2.6-2.8</c:v>
                </c:pt>
                <c:pt idx="14">
                  <c:v>2.8-3.0</c:v>
                </c:pt>
                <c:pt idx="15">
                  <c:v>3.0-3.2</c:v>
                </c:pt>
                <c:pt idx="16">
                  <c:v>3.2-3.4</c:v>
                </c:pt>
                <c:pt idx="17">
                  <c:v>3.4-3.6</c:v>
                </c:pt>
                <c:pt idx="18">
                  <c:v>3.6-3.8</c:v>
                </c:pt>
                <c:pt idx="19">
                  <c:v>3.8-4.0</c:v>
                </c:pt>
                <c:pt idx="20">
                  <c:v>4.0-4.2</c:v>
                </c:pt>
                <c:pt idx="21">
                  <c:v>4.2-4.4</c:v>
                </c:pt>
                <c:pt idx="22">
                  <c:v>4.4-4.6</c:v>
                </c:pt>
                <c:pt idx="23">
                  <c:v>4.6-4.8</c:v>
                </c:pt>
                <c:pt idx="24">
                  <c:v>4.8-5.0</c:v>
                </c:pt>
                <c:pt idx="25">
                  <c:v>5-6</c:v>
                </c:pt>
                <c:pt idx="26">
                  <c:v>6-7</c:v>
                </c:pt>
                <c:pt idx="27">
                  <c:v>7-8</c:v>
                </c:pt>
                <c:pt idx="28">
                  <c:v>8-9</c:v>
                </c:pt>
                <c:pt idx="29">
                  <c:v>9-10</c:v>
                </c:pt>
                <c:pt idx="30">
                  <c:v>10-15</c:v>
                </c:pt>
                <c:pt idx="31">
                  <c:v>15-20</c:v>
                </c:pt>
                <c:pt idx="32">
                  <c:v>20-25</c:v>
                </c:pt>
                <c:pt idx="33">
                  <c:v>25-30</c:v>
                </c:pt>
                <c:pt idx="34">
                  <c:v>30-35</c:v>
                </c:pt>
                <c:pt idx="35">
                  <c:v>35-40</c:v>
                </c:pt>
                <c:pt idx="36">
                  <c:v>40-45</c:v>
                </c:pt>
                <c:pt idx="37">
                  <c:v>45-50</c:v>
                </c:pt>
                <c:pt idx="38">
                  <c:v>&gt;50</c:v>
                </c:pt>
              </c:strCache>
            </c:strRef>
          </c:cat>
          <c:val>
            <c:numRef>
              <c:f>Mottn_Spil!$AK$24:$AK$63</c:f>
              <c:numCache>
                <c:formatCode>General</c:formatCode>
                <c:ptCount val="40"/>
                <c:pt idx="1">
                  <c:v>13</c:v>
                </c:pt>
                <c:pt idx="2">
                  <c:v>33</c:v>
                </c:pt>
                <c:pt idx="3">
                  <c:v>8</c:v>
                </c:pt>
                <c:pt idx="4">
                  <c:v>5</c:v>
                </c:pt>
                <c:pt idx="5">
                  <c:v>1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752512"/>
        <c:axId val="881751424"/>
      </c:barChart>
      <c:catAx>
        <c:axId val="88175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 sz="1000" b="1" i="0" baseline="0"/>
                  <a:t>Susceptibility x 1</a:t>
                </a:r>
                <a:r>
                  <a:rPr lang="en-AU" sz="1000" b="1" i="0" baseline="0"/>
                  <a:t>0</a:t>
                </a:r>
                <a:r>
                  <a:rPr lang="en-AU" sz="1000" b="1" i="0" baseline="30000"/>
                  <a:t>-3</a:t>
                </a:r>
                <a:r>
                  <a:rPr lang="en-US" sz="1000" b="1" i="0" baseline="0"/>
                  <a:t> SI units  </a:t>
                </a:r>
                <a:endParaRPr lang="en-AU" sz="1000" b="1" i="0" baseline="0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81751424"/>
        <c:crosses val="autoZero"/>
        <c:auto val="1"/>
        <c:lblAlgn val="ctr"/>
        <c:lblOffset val="100"/>
        <c:noMultiLvlLbl val="0"/>
      </c:catAx>
      <c:valAx>
        <c:axId val="881751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1752512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Denison Group Susceptibilities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Salisbury Hill Fm</c:v>
          </c:tx>
          <c:spPr>
            <a:solidFill>
              <a:srgbClr val="C0504D"/>
            </a:solidFill>
          </c:spPr>
          <c:invertIfNegative val="0"/>
          <c:cat>
            <c:strRef>
              <c:f>Moina_Sst!$H$10:$H$27</c:f>
              <c:strCache>
                <c:ptCount val="18"/>
                <c:pt idx="0">
                  <c:v>&lt;0.02</c:v>
                </c:pt>
                <c:pt idx="1">
                  <c:v>0.02-0.04</c:v>
                </c:pt>
                <c:pt idx="2">
                  <c:v>0.04-0.06</c:v>
                </c:pt>
                <c:pt idx="3">
                  <c:v>0.06-0.08</c:v>
                </c:pt>
                <c:pt idx="4">
                  <c:v>0.08-0.10</c:v>
                </c:pt>
                <c:pt idx="5">
                  <c:v>0.10-0.12</c:v>
                </c:pt>
                <c:pt idx="6">
                  <c:v>0.12-0.14</c:v>
                </c:pt>
                <c:pt idx="7">
                  <c:v>0.14-0.16</c:v>
                </c:pt>
                <c:pt idx="8">
                  <c:v>0.16-0.18</c:v>
                </c:pt>
                <c:pt idx="9">
                  <c:v>0.18-0.20</c:v>
                </c:pt>
                <c:pt idx="10">
                  <c:v>0.20-0.22</c:v>
                </c:pt>
                <c:pt idx="11">
                  <c:v>0.22-0.24</c:v>
                </c:pt>
                <c:pt idx="12">
                  <c:v>0.24-0.26</c:v>
                </c:pt>
                <c:pt idx="13">
                  <c:v>0.26-0.28</c:v>
                </c:pt>
                <c:pt idx="14">
                  <c:v>0.28-0.30</c:v>
                </c:pt>
                <c:pt idx="15">
                  <c:v>0.30-0.32</c:v>
                </c:pt>
                <c:pt idx="16">
                  <c:v>0.32-0.34</c:v>
                </c:pt>
                <c:pt idx="17">
                  <c:v>&gt;0.34</c:v>
                </c:pt>
              </c:strCache>
            </c:strRef>
          </c:cat>
          <c:val>
            <c:numRef>
              <c:f>Moina_Sst!$I$10:$I$27</c:f>
              <c:numCache>
                <c:formatCode>0</c:formatCode>
                <c:ptCount val="18"/>
                <c:pt idx="0">
                  <c:v>1</c:v>
                </c:pt>
                <c:pt idx="1">
                  <c:v>5</c:v>
                </c:pt>
                <c:pt idx="2">
                  <c:v>6</c:v>
                </c:pt>
                <c:pt idx="3">
                  <c:v>15</c:v>
                </c:pt>
                <c:pt idx="4">
                  <c:v>12</c:v>
                </c:pt>
                <c:pt idx="5">
                  <c:v>4</c:v>
                </c:pt>
                <c:pt idx="6">
                  <c:v>5</c:v>
                </c:pt>
                <c:pt idx="7">
                  <c:v>0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740000"/>
        <c:axId val="881743264"/>
      </c:barChart>
      <c:catAx>
        <c:axId val="88174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Susceptibility x 10</a:t>
                </a:r>
                <a:r>
                  <a:rPr lang="en-US" baseline="30000"/>
                  <a:t>-3</a:t>
                </a:r>
                <a:r>
                  <a:rPr lang="en-US"/>
                  <a:t> SI units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81743264"/>
        <c:crosses val="autoZero"/>
        <c:auto val="1"/>
        <c:lblAlgn val="ctr"/>
        <c:lblOffset val="100"/>
        <c:tickLblSkip val="2"/>
        <c:noMultiLvlLbl val="0"/>
      </c:catAx>
      <c:valAx>
        <c:axId val="8817432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881740000"/>
        <c:crosses val="autoZero"/>
        <c:crossBetween val="between"/>
        <c:majorUnit val="4"/>
        <c:minorUnit val="1"/>
      </c:valAx>
      <c:spPr>
        <a:solidFill>
          <a:srgbClr val="EEECE1"/>
        </a:solidFill>
      </c:spPr>
    </c:plotArea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Forth Metasediment</a:t>
            </a:r>
            <a:r>
              <a:rPr lang="en-US" baseline="0"/>
              <a:t> Susceptibilities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Forth Metasediments</c:v>
          </c:tx>
          <c:marker>
            <c:symbol val="none"/>
          </c:marker>
          <c:cat>
            <c:numRef>
              <c:f>Forth_Mm!$M$7:$M$109</c:f>
              <c:numCache>
                <c:formatCode>0%</c:formatCode>
                <c:ptCount val="103"/>
                <c:pt idx="0">
                  <c:v>9.7087378640776708E-3</c:v>
                </c:pt>
                <c:pt idx="1">
                  <c:v>1.9417475728155342E-2</c:v>
                </c:pt>
                <c:pt idx="2">
                  <c:v>2.9126213592233011E-2</c:v>
                </c:pt>
                <c:pt idx="3">
                  <c:v>3.8834951456310683E-2</c:v>
                </c:pt>
                <c:pt idx="4">
                  <c:v>4.8543689320388349E-2</c:v>
                </c:pt>
                <c:pt idx="5">
                  <c:v>5.8252427184466021E-2</c:v>
                </c:pt>
                <c:pt idx="6">
                  <c:v>6.7961165048543687E-2</c:v>
                </c:pt>
                <c:pt idx="7">
                  <c:v>7.7669902912621366E-2</c:v>
                </c:pt>
                <c:pt idx="8">
                  <c:v>8.7378640776699032E-2</c:v>
                </c:pt>
                <c:pt idx="9">
                  <c:v>9.7087378640776698E-2</c:v>
                </c:pt>
                <c:pt idx="10">
                  <c:v>0.10679611650485438</c:v>
                </c:pt>
                <c:pt idx="11">
                  <c:v>0.11650485436893204</c:v>
                </c:pt>
                <c:pt idx="12">
                  <c:v>0.12621359223300971</c:v>
                </c:pt>
                <c:pt idx="13">
                  <c:v>0.13592233009708737</c:v>
                </c:pt>
                <c:pt idx="14">
                  <c:v>0.14563106796116507</c:v>
                </c:pt>
                <c:pt idx="15">
                  <c:v>0.15533980582524273</c:v>
                </c:pt>
                <c:pt idx="16">
                  <c:v>0.1650485436893204</c:v>
                </c:pt>
                <c:pt idx="17">
                  <c:v>0.17475728155339806</c:v>
                </c:pt>
                <c:pt idx="18">
                  <c:v>0.18446601941747573</c:v>
                </c:pt>
                <c:pt idx="19">
                  <c:v>0.1941747572815534</c:v>
                </c:pt>
                <c:pt idx="20">
                  <c:v>0.20388349514563106</c:v>
                </c:pt>
                <c:pt idx="21">
                  <c:v>0.21359223300970875</c:v>
                </c:pt>
                <c:pt idx="22">
                  <c:v>0.22330097087378639</c:v>
                </c:pt>
                <c:pt idx="23">
                  <c:v>0.23300970873786409</c:v>
                </c:pt>
                <c:pt idx="24">
                  <c:v>0.24271844660194175</c:v>
                </c:pt>
                <c:pt idx="25">
                  <c:v>0.25242718446601942</c:v>
                </c:pt>
                <c:pt idx="26">
                  <c:v>0.26213592233009708</c:v>
                </c:pt>
                <c:pt idx="27">
                  <c:v>0.27184466019417475</c:v>
                </c:pt>
                <c:pt idx="28">
                  <c:v>0.28155339805825241</c:v>
                </c:pt>
                <c:pt idx="29">
                  <c:v>0.29126213592233013</c:v>
                </c:pt>
                <c:pt idx="30">
                  <c:v>0.30097087378640774</c:v>
                </c:pt>
                <c:pt idx="31">
                  <c:v>0.31067961165048547</c:v>
                </c:pt>
                <c:pt idx="32">
                  <c:v>0.32038834951456308</c:v>
                </c:pt>
                <c:pt idx="33">
                  <c:v>0.3300970873786408</c:v>
                </c:pt>
                <c:pt idx="34">
                  <c:v>0.33980582524271846</c:v>
                </c:pt>
                <c:pt idx="35">
                  <c:v>0.34951456310679613</c:v>
                </c:pt>
                <c:pt idx="36">
                  <c:v>0.35922330097087374</c:v>
                </c:pt>
                <c:pt idx="37">
                  <c:v>0.36893203883495146</c:v>
                </c:pt>
                <c:pt idx="38">
                  <c:v>0.37864077669902912</c:v>
                </c:pt>
                <c:pt idx="39">
                  <c:v>0.38834951456310679</c:v>
                </c:pt>
                <c:pt idx="40">
                  <c:v>0.39805825242718451</c:v>
                </c:pt>
                <c:pt idx="41">
                  <c:v>0.40776699029126212</c:v>
                </c:pt>
                <c:pt idx="42">
                  <c:v>0.41747572815533979</c:v>
                </c:pt>
                <c:pt idx="43">
                  <c:v>0.42718446601941751</c:v>
                </c:pt>
                <c:pt idx="44">
                  <c:v>0.43689320388349517</c:v>
                </c:pt>
                <c:pt idx="45">
                  <c:v>0.44660194174757278</c:v>
                </c:pt>
                <c:pt idx="46">
                  <c:v>0.4563106796116505</c:v>
                </c:pt>
                <c:pt idx="47">
                  <c:v>0.46601941747572817</c:v>
                </c:pt>
                <c:pt idx="48">
                  <c:v>0.47572815533980584</c:v>
                </c:pt>
                <c:pt idx="49">
                  <c:v>0.4854368932038835</c:v>
                </c:pt>
                <c:pt idx="50">
                  <c:v>0.49514563106796117</c:v>
                </c:pt>
                <c:pt idx="51">
                  <c:v>0.50485436893203883</c:v>
                </c:pt>
                <c:pt idx="52">
                  <c:v>0.5145631067961165</c:v>
                </c:pt>
                <c:pt idx="53">
                  <c:v>0.52427184466019416</c:v>
                </c:pt>
                <c:pt idx="54">
                  <c:v>0.53398058252427183</c:v>
                </c:pt>
                <c:pt idx="55">
                  <c:v>0.5436893203883495</c:v>
                </c:pt>
                <c:pt idx="56">
                  <c:v>0.55339805825242716</c:v>
                </c:pt>
                <c:pt idx="57">
                  <c:v>0.56310679611650483</c:v>
                </c:pt>
                <c:pt idx="58">
                  <c:v>0.57281553398058249</c:v>
                </c:pt>
                <c:pt idx="59">
                  <c:v>0.58252427184466027</c:v>
                </c:pt>
                <c:pt idx="60">
                  <c:v>0.59223300970873782</c:v>
                </c:pt>
                <c:pt idx="61">
                  <c:v>0.60194174757281549</c:v>
                </c:pt>
                <c:pt idx="62">
                  <c:v>0.61165048543689327</c:v>
                </c:pt>
                <c:pt idx="63">
                  <c:v>0.62135922330097093</c:v>
                </c:pt>
                <c:pt idx="64">
                  <c:v>0.63106796116504849</c:v>
                </c:pt>
                <c:pt idx="65">
                  <c:v>0.64077669902912615</c:v>
                </c:pt>
                <c:pt idx="66">
                  <c:v>0.65048543689320382</c:v>
                </c:pt>
                <c:pt idx="67">
                  <c:v>0.66019417475728159</c:v>
                </c:pt>
                <c:pt idx="68">
                  <c:v>0.66990291262135926</c:v>
                </c:pt>
                <c:pt idx="69">
                  <c:v>0.67961165048543692</c:v>
                </c:pt>
                <c:pt idx="70">
                  <c:v>0.68932038834951459</c:v>
                </c:pt>
                <c:pt idx="71">
                  <c:v>0.69902912621359226</c:v>
                </c:pt>
                <c:pt idx="72">
                  <c:v>0.70873786407766981</c:v>
                </c:pt>
                <c:pt idx="73">
                  <c:v>0.71844660194174748</c:v>
                </c:pt>
                <c:pt idx="74">
                  <c:v>0.72815533980582525</c:v>
                </c:pt>
                <c:pt idx="75">
                  <c:v>0.73786407766990292</c:v>
                </c:pt>
                <c:pt idx="76">
                  <c:v>0.74757281553398058</c:v>
                </c:pt>
                <c:pt idx="77">
                  <c:v>0.75728155339805825</c:v>
                </c:pt>
                <c:pt idx="78">
                  <c:v>0.76699029126213591</c:v>
                </c:pt>
                <c:pt idx="79">
                  <c:v>0.77669902912621358</c:v>
                </c:pt>
                <c:pt idx="80">
                  <c:v>0.78640776699029136</c:v>
                </c:pt>
                <c:pt idx="81">
                  <c:v>0.79611650485436902</c:v>
                </c:pt>
                <c:pt idx="82">
                  <c:v>0.80582524271844658</c:v>
                </c:pt>
                <c:pt idx="83">
                  <c:v>0.81553398058252424</c:v>
                </c:pt>
                <c:pt idx="84">
                  <c:v>0.82524271844660191</c:v>
                </c:pt>
                <c:pt idx="85">
                  <c:v>0.83495145631067957</c:v>
                </c:pt>
                <c:pt idx="86">
                  <c:v>0.84466019417475735</c:v>
                </c:pt>
                <c:pt idx="87">
                  <c:v>0.85436893203883502</c:v>
                </c:pt>
                <c:pt idx="88">
                  <c:v>0.86407766990291268</c:v>
                </c:pt>
                <c:pt idx="89">
                  <c:v>0.87378640776699035</c:v>
                </c:pt>
                <c:pt idx="90">
                  <c:v>0.8834951456310679</c:v>
                </c:pt>
                <c:pt idx="91">
                  <c:v>0.89320388349514557</c:v>
                </c:pt>
                <c:pt idx="92">
                  <c:v>0.90291262135922323</c:v>
                </c:pt>
                <c:pt idx="93">
                  <c:v>0.91262135922330101</c:v>
                </c:pt>
                <c:pt idx="94">
                  <c:v>0.92233009708737868</c:v>
                </c:pt>
                <c:pt idx="95">
                  <c:v>0.93203883495145634</c:v>
                </c:pt>
                <c:pt idx="96">
                  <c:v>0.94174757281553401</c:v>
                </c:pt>
                <c:pt idx="97">
                  <c:v>0.95145631067961167</c:v>
                </c:pt>
                <c:pt idx="98">
                  <c:v>0.96116504854368923</c:v>
                </c:pt>
                <c:pt idx="99">
                  <c:v>0.970873786407767</c:v>
                </c:pt>
                <c:pt idx="100">
                  <c:v>0.98058252427184467</c:v>
                </c:pt>
                <c:pt idx="101">
                  <c:v>0.99029126213592233</c:v>
                </c:pt>
                <c:pt idx="102">
                  <c:v>1</c:v>
                </c:pt>
              </c:numCache>
            </c:numRef>
          </c:cat>
          <c:val>
            <c:numRef>
              <c:f>Forth_Mm!$K$7:$K$109</c:f>
              <c:numCache>
                <c:formatCode>General</c:formatCode>
                <c:ptCount val="103"/>
                <c:pt idx="0">
                  <c:v>1.703333929878037E-2</c:v>
                </c:pt>
                <c:pt idx="1">
                  <c:v>2.1189299069938092E-2</c:v>
                </c:pt>
                <c:pt idx="2">
                  <c:v>2.1189299069938092E-2</c:v>
                </c:pt>
                <c:pt idx="3">
                  <c:v>2.1189299069938092E-2</c:v>
                </c:pt>
                <c:pt idx="4">
                  <c:v>2.5305865264770262E-2</c:v>
                </c:pt>
                <c:pt idx="5">
                  <c:v>2.5305865264770262E-2</c:v>
                </c:pt>
                <c:pt idx="6">
                  <c:v>2.9383777685209667E-2</c:v>
                </c:pt>
                <c:pt idx="7">
                  <c:v>2.9383777685209667E-2</c:v>
                </c:pt>
                <c:pt idx="8">
                  <c:v>2.9383777685209667E-2</c:v>
                </c:pt>
                <c:pt idx="9">
                  <c:v>2.9383777685209667E-2</c:v>
                </c:pt>
                <c:pt idx="10">
                  <c:v>2.9383777685209667E-2</c:v>
                </c:pt>
                <c:pt idx="11">
                  <c:v>3.342375548694973E-2</c:v>
                </c:pt>
                <c:pt idx="12">
                  <c:v>3.342375548694973E-2</c:v>
                </c:pt>
                <c:pt idx="13">
                  <c:v>3.7426497940623665E-2</c:v>
                </c:pt>
                <c:pt idx="14">
                  <c:v>3.7426497940623665E-2</c:v>
                </c:pt>
                <c:pt idx="15">
                  <c:v>3.7426497940623665E-2</c:v>
                </c:pt>
                <c:pt idx="16">
                  <c:v>3.7426497940623665E-2</c:v>
                </c:pt>
                <c:pt idx="17">
                  <c:v>3.7426497940623665E-2</c:v>
                </c:pt>
                <c:pt idx="18">
                  <c:v>4.1392685158225077E-2</c:v>
                </c:pt>
                <c:pt idx="19">
                  <c:v>4.1392685158225077E-2</c:v>
                </c:pt>
                <c:pt idx="20">
                  <c:v>4.1392685158225077E-2</c:v>
                </c:pt>
                <c:pt idx="21">
                  <c:v>4.1392685158225077E-2</c:v>
                </c:pt>
                <c:pt idx="22">
                  <c:v>4.1392685158225077E-2</c:v>
                </c:pt>
                <c:pt idx="23">
                  <c:v>4.1392685158225077E-2</c:v>
                </c:pt>
                <c:pt idx="24">
                  <c:v>4.5322978786657475E-2</c:v>
                </c:pt>
                <c:pt idx="25">
                  <c:v>4.5322978786657475E-2</c:v>
                </c:pt>
                <c:pt idx="26">
                  <c:v>4.5322978786657475E-2</c:v>
                </c:pt>
                <c:pt idx="27">
                  <c:v>4.5322978786657475E-2</c:v>
                </c:pt>
                <c:pt idx="28">
                  <c:v>4.5322978786657475E-2</c:v>
                </c:pt>
                <c:pt idx="29">
                  <c:v>4.5322978786657475E-2</c:v>
                </c:pt>
                <c:pt idx="30">
                  <c:v>4.5322978786657475E-2</c:v>
                </c:pt>
                <c:pt idx="31">
                  <c:v>4.9218022670181653E-2</c:v>
                </c:pt>
                <c:pt idx="32">
                  <c:v>4.9218022670181653E-2</c:v>
                </c:pt>
                <c:pt idx="33">
                  <c:v>4.9218022670181653E-2</c:v>
                </c:pt>
                <c:pt idx="34">
                  <c:v>4.9218022670181653E-2</c:v>
                </c:pt>
                <c:pt idx="35">
                  <c:v>4.9218022670181653E-2</c:v>
                </c:pt>
                <c:pt idx="36">
                  <c:v>5.3078443483419682E-2</c:v>
                </c:pt>
                <c:pt idx="37">
                  <c:v>5.3078443483419682E-2</c:v>
                </c:pt>
                <c:pt idx="38">
                  <c:v>5.3078443483419682E-2</c:v>
                </c:pt>
                <c:pt idx="39">
                  <c:v>5.3078443483419682E-2</c:v>
                </c:pt>
                <c:pt idx="40">
                  <c:v>5.3078443483419682E-2</c:v>
                </c:pt>
                <c:pt idx="41">
                  <c:v>5.3078443483419682E-2</c:v>
                </c:pt>
                <c:pt idx="42">
                  <c:v>5.3078443483419682E-2</c:v>
                </c:pt>
                <c:pt idx="43">
                  <c:v>5.6904851336472641E-2</c:v>
                </c:pt>
                <c:pt idx="44">
                  <c:v>5.6904851336472641E-2</c:v>
                </c:pt>
                <c:pt idx="45">
                  <c:v>5.6904851336472641E-2</c:v>
                </c:pt>
                <c:pt idx="46">
                  <c:v>5.6904851336472641E-2</c:v>
                </c:pt>
                <c:pt idx="47">
                  <c:v>5.6904851336472641E-2</c:v>
                </c:pt>
                <c:pt idx="48">
                  <c:v>5.6904851336472641E-2</c:v>
                </c:pt>
                <c:pt idx="49">
                  <c:v>5.6904851336472641E-2</c:v>
                </c:pt>
                <c:pt idx="50">
                  <c:v>5.6904851336472641E-2</c:v>
                </c:pt>
                <c:pt idx="51">
                  <c:v>5.6904851336472641E-2</c:v>
                </c:pt>
                <c:pt idx="52">
                  <c:v>6.069784035361165E-2</c:v>
                </c:pt>
                <c:pt idx="53">
                  <c:v>6.069784035361165E-2</c:v>
                </c:pt>
                <c:pt idx="54">
                  <c:v>6.069784035361165E-2</c:v>
                </c:pt>
                <c:pt idx="55">
                  <c:v>6.069784035361165E-2</c:v>
                </c:pt>
                <c:pt idx="56">
                  <c:v>6.069784035361165E-2</c:v>
                </c:pt>
                <c:pt idx="57">
                  <c:v>6.069784035361165E-2</c:v>
                </c:pt>
                <c:pt idx="58">
                  <c:v>6.445798922691845E-2</c:v>
                </c:pt>
                <c:pt idx="59">
                  <c:v>6.8185861746161619E-2</c:v>
                </c:pt>
                <c:pt idx="60">
                  <c:v>6.8185861746161619E-2</c:v>
                </c:pt>
                <c:pt idx="61">
                  <c:v>6.8185861746161619E-2</c:v>
                </c:pt>
                <c:pt idx="62">
                  <c:v>6.8185861746161619E-2</c:v>
                </c:pt>
                <c:pt idx="63">
                  <c:v>6.8185861746161619E-2</c:v>
                </c:pt>
                <c:pt idx="64">
                  <c:v>6.8185861746161619E-2</c:v>
                </c:pt>
                <c:pt idx="65">
                  <c:v>6.8185861746161619E-2</c:v>
                </c:pt>
                <c:pt idx="66">
                  <c:v>6.8185861746161619E-2</c:v>
                </c:pt>
                <c:pt idx="67">
                  <c:v>7.1882007306125359E-2</c:v>
                </c:pt>
                <c:pt idx="68">
                  <c:v>7.1882007306125359E-2</c:v>
                </c:pt>
                <c:pt idx="69">
                  <c:v>7.554696139253074E-2</c:v>
                </c:pt>
                <c:pt idx="70">
                  <c:v>7.9181246047624818E-2</c:v>
                </c:pt>
                <c:pt idx="71">
                  <c:v>7.9181246047624818E-2</c:v>
                </c:pt>
                <c:pt idx="72">
                  <c:v>8.2785370316450071E-2</c:v>
                </c:pt>
                <c:pt idx="73">
                  <c:v>8.2785370316450071E-2</c:v>
                </c:pt>
                <c:pt idx="74">
                  <c:v>8.6359830674748214E-2</c:v>
                </c:pt>
                <c:pt idx="75">
                  <c:v>8.6359830674748214E-2</c:v>
                </c:pt>
                <c:pt idx="76">
                  <c:v>8.9905111439397931E-2</c:v>
                </c:pt>
                <c:pt idx="77">
                  <c:v>9.691001300805642E-2</c:v>
                </c:pt>
                <c:pt idx="78">
                  <c:v>0.11058971029924898</c:v>
                </c:pt>
                <c:pt idx="79">
                  <c:v>0.11058971029924898</c:v>
                </c:pt>
                <c:pt idx="80">
                  <c:v>0.12057393120584989</c:v>
                </c:pt>
                <c:pt idx="81">
                  <c:v>0.13033376849500614</c:v>
                </c:pt>
                <c:pt idx="82">
                  <c:v>0.13353890837021748</c:v>
                </c:pt>
                <c:pt idx="83">
                  <c:v>0.13987908640123647</c:v>
                </c:pt>
                <c:pt idx="84">
                  <c:v>0.13987908640123647</c:v>
                </c:pt>
                <c:pt idx="85">
                  <c:v>0.14612803567823801</c:v>
                </c:pt>
                <c:pt idx="86">
                  <c:v>0.14921911265537988</c:v>
                </c:pt>
                <c:pt idx="87">
                  <c:v>0.15228834438305647</c:v>
                </c:pt>
                <c:pt idx="88">
                  <c:v>0.1553360374650618</c:v>
                </c:pt>
                <c:pt idx="89">
                  <c:v>0.16435285578443709</c:v>
                </c:pt>
                <c:pt idx="90">
                  <c:v>0.16435285578443709</c:v>
                </c:pt>
                <c:pt idx="91">
                  <c:v>0.16731733474817609</c:v>
                </c:pt>
                <c:pt idx="92">
                  <c:v>0.17026171539495738</c:v>
                </c:pt>
                <c:pt idx="93">
                  <c:v>0.17026171539495738</c:v>
                </c:pt>
                <c:pt idx="94">
                  <c:v>0.17609125905568124</c:v>
                </c:pt>
                <c:pt idx="95">
                  <c:v>0.18184358794477254</c:v>
                </c:pt>
                <c:pt idx="96">
                  <c:v>0.1903316981702915</c:v>
                </c:pt>
                <c:pt idx="97">
                  <c:v>0.1903316981702915</c:v>
                </c:pt>
                <c:pt idx="98">
                  <c:v>0.1903316981702915</c:v>
                </c:pt>
                <c:pt idx="99">
                  <c:v>0.19312459835446161</c:v>
                </c:pt>
                <c:pt idx="100">
                  <c:v>0.20411998265592479</c:v>
                </c:pt>
                <c:pt idx="101">
                  <c:v>0.21748394421390627</c:v>
                </c:pt>
                <c:pt idx="102">
                  <c:v>1.110589710299249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1741088"/>
        <c:axId val="881743808"/>
      </c:lineChart>
      <c:catAx>
        <c:axId val="88174108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crossAx val="881743808"/>
        <c:crosses val="autoZero"/>
        <c:auto val="1"/>
        <c:lblAlgn val="ctr"/>
        <c:lblOffset val="100"/>
        <c:tickLblSkip val="10"/>
        <c:noMultiLvlLbl val="0"/>
      </c:catAx>
      <c:valAx>
        <c:axId val="881743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endParaRPr lang="en-AU"/>
              </a:p>
              <a:p>
                <a:pPr>
                  <a:defRPr/>
                </a:pPr>
                <a:r>
                  <a:rPr lang="en-AU"/>
                  <a:t>Log (</a:t>
                </a:r>
                <a:r>
                  <a:rPr lang="en-AU" i="1"/>
                  <a:t>k</a:t>
                </a:r>
                <a:r>
                  <a:rPr lang="en-AU"/>
                  <a:t>+1)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81741088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lumMod val="60000"/>
            <a:lumOff val="4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339129483814544"/>
          <c:y val="0.19480351414406533"/>
          <c:w val="0.57170734908136456"/>
          <c:h val="0.51810914260717589"/>
        </c:manualLayout>
      </c:layout>
      <c:barChart>
        <c:barDir val="col"/>
        <c:grouping val="clustered"/>
        <c:varyColors val="0"/>
        <c:ser>
          <c:idx val="0"/>
          <c:order val="0"/>
          <c:tx>
            <c:v>Forth Metamorphics</c:v>
          </c:tx>
          <c:invertIfNegative val="0"/>
          <c:cat>
            <c:strRef>
              <c:f>Forth_Mm!$X$8:$X$22</c:f>
              <c:strCache>
                <c:ptCount val="15"/>
                <c:pt idx="0">
                  <c:v>&lt;0.05</c:v>
                </c:pt>
                <c:pt idx="1">
                  <c:v>0.05-0.10</c:v>
                </c:pt>
                <c:pt idx="2">
                  <c:v>0.10-0.15</c:v>
                </c:pt>
                <c:pt idx="3">
                  <c:v>0.15-0.20</c:v>
                </c:pt>
                <c:pt idx="4">
                  <c:v>0.20-0.25</c:v>
                </c:pt>
                <c:pt idx="5">
                  <c:v>0.25-0.30</c:v>
                </c:pt>
                <c:pt idx="6">
                  <c:v>0.30-0.35</c:v>
                </c:pt>
                <c:pt idx="7">
                  <c:v>0.35-0.40</c:v>
                </c:pt>
                <c:pt idx="8">
                  <c:v>0.40-0.45</c:v>
                </c:pt>
                <c:pt idx="9">
                  <c:v>0.45-0.50</c:v>
                </c:pt>
                <c:pt idx="10">
                  <c:v>0.50-0.55</c:v>
                </c:pt>
                <c:pt idx="11">
                  <c:v>0.55-0.60</c:v>
                </c:pt>
                <c:pt idx="12">
                  <c:v>0.60-0.65</c:v>
                </c:pt>
                <c:pt idx="13">
                  <c:v>0.65-0.70</c:v>
                </c:pt>
                <c:pt idx="14">
                  <c:v>&gt;0.70</c:v>
                </c:pt>
              </c:strCache>
            </c:strRef>
          </c:cat>
          <c:val>
            <c:numRef>
              <c:f>Forth_Mm!$Y$8:$Y$22</c:f>
              <c:numCache>
                <c:formatCode>General</c:formatCode>
                <c:ptCount val="15"/>
                <c:pt idx="0">
                  <c:v>1</c:v>
                </c:pt>
                <c:pt idx="1">
                  <c:v>17</c:v>
                </c:pt>
                <c:pt idx="2">
                  <c:v>34</c:v>
                </c:pt>
                <c:pt idx="3">
                  <c:v>18</c:v>
                </c:pt>
                <c:pt idx="4">
                  <c:v>7</c:v>
                </c:pt>
                <c:pt idx="5">
                  <c:v>3</c:v>
                </c:pt>
                <c:pt idx="6">
                  <c:v>1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746528"/>
        <c:axId val="881747072"/>
      </c:barChart>
      <c:catAx>
        <c:axId val="88174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Susceptibility x </a:t>
                </a:r>
                <a:r>
                  <a:rPr lang="en-AU" sz="1000" b="1" i="0" u="none" strike="noStrike" baseline="0"/>
                  <a:t>10</a:t>
                </a:r>
                <a:r>
                  <a:rPr lang="en-AU" sz="1000" b="1" i="0" u="none" strike="noStrike" baseline="30000"/>
                  <a:t>-3</a:t>
                </a:r>
                <a:r>
                  <a:rPr lang="en-US"/>
                  <a:t> SI Units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881747072"/>
        <c:crosses val="autoZero"/>
        <c:auto val="1"/>
        <c:lblAlgn val="ctr"/>
        <c:lblOffset val="100"/>
        <c:noMultiLvlLbl val="0"/>
      </c:catAx>
      <c:valAx>
        <c:axId val="881747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1746528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>
        <c:manualLayout>
          <c:xMode val="edge"/>
          <c:yMode val="edge"/>
          <c:x val="0.74843197725284361"/>
          <c:y val="0.28447251385243666"/>
          <c:w val="0.22934580052493486"/>
          <c:h val="0.24575422863808688"/>
        </c:manualLayout>
      </c:layout>
      <c:overlay val="0"/>
    </c:legend>
    <c:plotVisOnly val="1"/>
    <c:dispBlanksAs val="gap"/>
    <c:showDLblsOverMax val="0"/>
  </c:chart>
  <c:spPr>
    <a:gradFill>
      <a:gsLst>
        <a:gs pos="0">
          <a:srgbClr val="4F81BD">
            <a:lumMod val="60000"/>
            <a:lumOff val="4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 Frequency, Serpentenite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6240263612748038"/>
          <c:y val="0.17423419898599701"/>
          <c:w val="0.56960771431170665"/>
          <c:h val="0.65142824538237065"/>
        </c:manualLayout>
      </c:layout>
      <c:lineChart>
        <c:grouping val="standard"/>
        <c:varyColors val="0"/>
        <c:ser>
          <c:idx val="0"/>
          <c:order val="0"/>
          <c:tx>
            <c:v>Waratah</c:v>
          </c:tx>
          <c:marker>
            <c:symbol val="none"/>
          </c:marker>
          <c:cat>
            <c:numRef>
              <c:f>Serp!$X$7:$X$108</c:f>
              <c:numCache>
                <c:formatCode>General</c:formatCode>
                <c:ptCount val="10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</c:numCache>
            </c:numRef>
          </c:cat>
          <c:val>
            <c:numRef>
              <c:f>Serp!$Y$7:$Y$108</c:f>
              <c:numCache>
                <c:formatCode>General</c:formatCode>
                <c:ptCount val="102"/>
                <c:pt idx="0">
                  <c:v>2.5263392773898441</c:v>
                </c:pt>
                <c:pt idx="1">
                  <c:v>2.3096301674258988</c:v>
                </c:pt>
                <c:pt idx="2">
                  <c:v>2.1398790864012365</c:v>
                </c:pt>
                <c:pt idx="3">
                  <c:v>2.0755469613925306</c:v>
                </c:pt>
                <c:pt idx="4">
                  <c:v>2.0718820073061255</c:v>
                </c:pt>
                <c:pt idx="5">
                  <c:v>1.9585638832219674</c:v>
                </c:pt>
                <c:pt idx="6">
                  <c:v>1.9518230353159121</c:v>
                </c:pt>
                <c:pt idx="7">
                  <c:v>1.9063350418050906</c:v>
                </c:pt>
                <c:pt idx="8">
                  <c:v>1.8915374576725645</c:v>
                </c:pt>
                <c:pt idx="9">
                  <c:v>1.890979596989689</c:v>
                </c:pt>
                <c:pt idx="10">
                  <c:v>1.8898617212581883</c:v>
                </c:pt>
                <c:pt idx="11">
                  <c:v>1.884795363948981</c:v>
                </c:pt>
                <c:pt idx="12">
                  <c:v>1.8621313793130372</c:v>
                </c:pt>
                <c:pt idx="13">
                  <c:v>1.8615344108590379</c:v>
                </c:pt>
                <c:pt idx="14">
                  <c:v>1.8561244442423004</c:v>
                </c:pt>
                <c:pt idx="15">
                  <c:v>1.8475726591421122</c:v>
                </c:pt>
                <c:pt idx="16">
                  <c:v>1.8375884382355112</c:v>
                </c:pt>
                <c:pt idx="17">
                  <c:v>1.8142475957319202</c:v>
                </c:pt>
                <c:pt idx="18">
                  <c:v>1.8115750058705933</c:v>
                </c:pt>
                <c:pt idx="19">
                  <c:v>1.8027737252919758</c:v>
                </c:pt>
                <c:pt idx="20">
                  <c:v>1.7965743332104296</c:v>
                </c:pt>
                <c:pt idx="21">
                  <c:v>1.7860412102425542</c:v>
                </c:pt>
                <c:pt idx="22">
                  <c:v>1.7730546933642626</c:v>
                </c:pt>
                <c:pt idx="23">
                  <c:v>1.7573960287930241</c:v>
                </c:pt>
                <c:pt idx="24">
                  <c:v>1.7512791039833422</c:v>
                </c:pt>
                <c:pt idx="25">
                  <c:v>1.7489628612561614</c:v>
                </c:pt>
                <c:pt idx="26">
                  <c:v>1.7481880270062005</c:v>
                </c:pt>
                <c:pt idx="27">
                  <c:v>1.7474118078864234</c:v>
                </c:pt>
                <c:pt idx="28">
                  <c:v>1.7403626894942439</c:v>
                </c:pt>
                <c:pt idx="29">
                  <c:v>1.7371926427047373</c:v>
                </c:pt>
                <c:pt idx="30">
                  <c:v>1.7315887651867388</c:v>
                </c:pt>
                <c:pt idx="31">
                  <c:v>1.7234556720351857</c:v>
                </c:pt>
                <c:pt idx="32">
                  <c:v>1.7201593034059568</c:v>
                </c:pt>
                <c:pt idx="33">
                  <c:v>1.7143297597452329</c:v>
                </c:pt>
                <c:pt idx="34">
                  <c:v>1.7143297597452329</c:v>
                </c:pt>
                <c:pt idx="35">
                  <c:v>1.7126497016272113</c:v>
                </c:pt>
                <c:pt idx="36">
                  <c:v>1.7109631189952756</c:v>
                </c:pt>
                <c:pt idx="37">
                  <c:v>1.6963563887333322</c:v>
                </c:pt>
                <c:pt idx="38">
                  <c:v>1.6893088591236203</c:v>
                </c:pt>
                <c:pt idx="39">
                  <c:v>1.6884198220027107</c:v>
                </c:pt>
                <c:pt idx="40">
                  <c:v>1.658964842664435</c:v>
                </c:pt>
                <c:pt idx="41">
                  <c:v>1.6532125137753437</c:v>
                </c:pt>
                <c:pt idx="42">
                  <c:v>1.6483600109809315</c:v>
                </c:pt>
                <c:pt idx="43">
                  <c:v>1.6454222693490919</c:v>
                </c:pt>
                <c:pt idx="44">
                  <c:v>1.6384892569546374</c:v>
                </c:pt>
                <c:pt idx="45">
                  <c:v>1.6364878963533653</c:v>
                </c:pt>
                <c:pt idx="46">
                  <c:v>1.6364878963533653</c:v>
                </c:pt>
                <c:pt idx="47">
                  <c:v>1.6354837468149122</c:v>
                </c:pt>
                <c:pt idx="48">
                  <c:v>1.6273658565927327</c:v>
                </c:pt>
                <c:pt idx="49">
                  <c:v>1.6263403673750423</c:v>
                </c:pt>
                <c:pt idx="50">
                  <c:v>1.6242820958356683</c:v>
                </c:pt>
                <c:pt idx="51">
                  <c:v>1.6127838567197355</c:v>
                </c:pt>
                <c:pt idx="52">
                  <c:v>1.5987905067631152</c:v>
                </c:pt>
                <c:pt idx="53">
                  <c:v>1.5976951859255124</c:v>
                </c:pt>
                <c:pt idx="54">
                  <c:v>1.5865873046717549</c:v>
                </c:pt>
                <c:pt idx="55">
                  <c:v>1.5854607295085006</c:v>
                </c:pt>
                <c:pt idx="56">
                  <c:v>1.5809249756756194</c:v>
                </c:pt>
                <c:pt idx="57">
                  <c:v>1.5751878449276611</c:v>
                </c:pt>
                <c:pt idx="58">
                  <c:v>1.5490032620257879</c:v>
                </c:pt>
                <c:pt idx="59">
                  <c:v>1.546542663478131</c:v>
                </c:pt>
                <c:pt idx="60">
                  <c:v>1.5352941200427705</c:v>
                </c:pt>
                <c:pt idx="61">
                  <c:v>1.5198279937757189</c:v>
                </c:pt>
                <c:pt idx="62">
                  <c:v>1.5185139398778875</c:v>
                </c:pt>
                <c:pt idx="63">
                  <c:v>1.505149978319906</c:v>
                </c:pt>
                <c:pt idx="64">
                  <c:v>1.4742162640762553</c:v>
                </c:pt>
                <c:pt idx="65">
                  <c:v>1.4727564493172123</c:v>
                </c:pt>
                <c:pt idx="66">
                  <c:v>1.4608978427565478</c:v>
                </c:pt>
                <c:pt idx="67">
                  <c:v>1.4517864355242902</c:v>
                </c:pt>
                <c:pt idx="68">
                  <c:v>1.4393326938302626</c:v>
                </c:pt>
                <c:pt idx="69">
                  <c:v>1.4183012913197455</c:v>
                </c:pt>
                <c:pt idx="70">
                  <c:v>1.3909351071033791</c:v>
                </c:pt>
                <c:pt idx="71">
                  <c:v>1.3765769570565121</c:v>
                </c:pt>
                <c:pt idx="72">
                  <c:v>1.3710678622717363</c:v>
                </c:pt>
                <c:pt idx="73">
                  <c:v>1.3579348470004537</c:v>
                </c:pt>
                <c:pt idx="74">
                  <c:v>1.3404441148401183</c:v>
                </c:pt>
                <c:pt idx="75">
                  <c:v>1.3404441148401183</c:v>
                </c:pt>
                <c:pt idx="76">
                  <c:v>1.3364597338485296</c:v>
                </c:pt>
                <c:pt idx="77">
                  <c:v>1.320146286111054</c:v>
                </c:pt>
                <c:pt idx="78">
                  <c:v>1.3180633349627615</c:v>
                </c:pt>
                <c:pt idx="79">
                  <c:v>1.3159703454569178</c:v>
                </c:pt>
                <c:pt idx="80">
                  <c:v>1.3031960574204888</c:v>
                </c:pt>
                <c:pt idx="81">
                  <c:v>1.3010299956639813</c:v>
                </c:pt>
                <c:pt idx="82">
                  <c:v>1.2900346113625181</c:v>
                </c:pt>
                <c:pt idx="83">
                  <c:v>1.2787536009528289</c:v>
                </c:pt>
                <c:pt idx="84">
                  <c:v>1.2576785748691846</c:v>
                </c:pt>
                <c:pt idx="85">
                  <c:v>1.2528530309798931</c:v>
                </c:pt>
                <c:pt idx="86">
                  <c:v>1.2430380486862944</c:v>
                </c:pt>
                <c:pt idx="87">
                  <c:v>1.2278867046136734</c:v>
                </c:pt>
                <c:pt idx="88">
                  <c:v>1.2253092817258628</c:v>
                </c:pt>
                <c:pt idx="89">
                  <c:v>1.2201080880400552</c:v>
                </c:pt>
                <c:pt idx="90">
                  <c:v>1.1398790864012365</c:v>
                </c:pt>
                <c:pt idx="91">
                  <c:v>0.77158748088125539</c:v>
                </c:pt>
                <c:pt idx="92">
                  <c:v>0.73878055848436919</c:v>
                </c:pt>
                <c:pt idx="93">
                  <c:v>0.6273658565927327</c:v>
                </c:pt>
                <c:pt idx="94">
                  <c:v>0.54654266347813107</c:v>
                </c:pt>
                <c:pt idx="95">
                  <c:v>0.43296929087440572</c:v>
                </c:pt>
                <c:pt idx="96">
                  <c:v>0.4132997640812518</c:v>
                </c:pt>
                <c:pt idx="97">
                  <c:v>0.38916608436453248</c:v>
                </c:pt>
                <c:pt idx="98">
                  <c:v>0.20411998265592479</c:v>
                </c:pt>
                <c:pt idx="99">
                  <c:v>0.14301480025409505</c:v>
                </c:pt>
                <c:pt idx="100">
                  <c:v>4.9218022670181653E-2</c:v>
                </c:pt>
                <c:pt idx="101">
                  <c:v>-0.36653154442041347</c:v>
                </c:pt>
              </c:numCache>
            </c:numRef>
          </c:val>
          <c:smooth val="0"/>
        </c:ser>
        <c:ser>
          <c:idx val="1"/>
          <c:order val="1"/>
          <c:tx>
            <c:v>Forth</c:v>
          </c:tx>
          <c:marker>
            <c:symbol val="none"/>
          </c:marker>
          <c:val>
            <c:numRef>
              <c:f>Serp!$M$6:$M$91</c:f>
              <c:numCache>
                <c:formatCode>General</c:formatCode>
                <c:ptCount val="86"/>
                <c:pt idx="0">
                  <c:v>2.0492180226701815</c:v>
                </c:pt>
                <c:pt idx="1">
                  <c:v>1.9772662124272926</c:v>
                </c:pt>
                <c:pt idx="2">
                  <c:v>1.8488047010518038</c:v>
                </c:pt>
                <c:pt idx="3">
                  <c:v>1.8350561017201164</c:v>
                </c:pt>
                <c:pt idx="4">
                  <c:v>1.8048206787211623</c:v>
                </c:pt>
                <c:pt idx="5">
                  <c:v>1.7566361082458481</c:v>
                </c:pt>
                <c:pt idx="6">
                  <c:v>1.7481880270062005</c:v>
                </c:pt>
                <c:pt idx="7">
                  <c:v>1.7193312869837267</c:v>
                </c:pt>
                <c:pt idx="8">
                  <c:v>1.7126497016272113</c:v>
                </c:pt>
                <c:pt idx="9">
                  <c:v>1.7109631189952756</c:v>
                </c:pt>
                <c:pt idx="10">
                  <c:v>1.7101173651118162</c:v>
                </c:pt>
                <c:pt idx="11">
                  <c:v>1.7058637122839193</c:v>
                </c:pt>
                <c:pt idx="12">
                  <c:v>1.6963563887333322</c:v>
                </c:pt>
                <c:pt idx="13">
                  <c:v>1.6857417386022637</c:v>
                </c:pt>
                <c:pt idx="14">
                  <c:v>1.6857417386022637</c:v>
                </c:pt>
                <c:pt idx="15">
                  <c:v>1.6803355134145632</c:v>
                </c:pt>
                <c:pt idx="16">
                  <c:v>1.6532125137753437</c:v>
                </c:pt>
                <c:pt idx="17">
                  <c:v>1.6503075231319364</c:v>
                </c:pt>
                <c:pt idx="18">
                  <c:v>1.6493348587121419</c:v>
                </c:pt>
                <c:pt idx="19">
                  <c:v>1.6464037262230695</c:v>
                </c:pt>
                <c:pt idx="20">
                  <c:v>1.6434526764861874</c:v>
                </c:pt>
                <c:pt idx="21">
                  <c:v>1.6294095991027189</c:v>
                </c:pt>
                <c:pt idx="22">
                  <c:v>1.6294095991027189</c:v>
                </c:pt>
                <c:pt idx="23">
                  <c:v>1.6294095991027189</c:v>
                </c:pt>
                <c:pt idx="24">
                  <c:v>1.6283889300503116</c:v>
                </c:pt>
                <c:pt idx="25">
                  <c:v>1.6127838567197355</c:v>
                </c:pt>
                <c:pt idx="26">
                  <c:v>1.5954962218255742</c:v>
                </c:pt>
                <c:pt idx="27">
                  <c:v>1.5865873046717549</c:v>
                </c:pt>
                <c:pt idx="28">
                  <c:v>1.5831987739686226</c:v>
                </c:pt>
                <c:pt idx="29">
                  <c:v>1.5797835966168101</c:v>
                </c:pt>
                <c:pt idx="30">
                  <c:v>1.5786392099680724</c:v>
                </c:pt>
                <c:pt idx="31">
                  <c:v>1.5705429398818975</c:v>
                </c:pt>
                <c:pt idx="32">
                  <c:v>1.5634810853944108</c:v>
                </c:pt>
                <c:pt idx="33">
                  <c:v>1.5599066250361124</c:v>
                </c:pt>
                <c:pt idx="34">
                  <c:v>1.5587085705331658</c:v>
                </c:pt>
                <c:pt idx="35">
                  <c:v>1.550228353055094</c:v>
                </c:pt>
                <c:pt idx="36">
                  <c:v>1.5477747053878226</c:v>
                </c:pt>
                <c:pt idx="37">
                  <c:v>1.546542663478131</c:v>
                </c:pt>
                <c:pt idx="38">
                  <c:v>1.5250448070368452</c:v>
                </c:pt>
                <c:pt idx="39">
                  <c:v>1.5211380837040362</c:v>
                </c:pt>
                <c:pt idx="40">
                  <c:v>1.507855871695831</c:v>
                </c:pt>
                <c:pt idx="41">
                  <c:v>1.507855871695831</c:v>
                </c:pt>
                <c:pt idx="42">
                  <c:v>1.5065050324048721</c:v>
                </c:pt>
                <c:pt idx="43">
                  <c:v>1.505149978319906</c:v>
                </c:pt>
                <c:pt idx="44">
                  <c:v>1.5024271199844328</c:v>
                </c:pt>
                <c:pt idx="45">
                  <c:v>1.5024271199844328</c:v>
                </c:pt>
                <c:pt idx="46">
                  <c:v>1.5024271199844328</c:v>
                </c:pt>
                <c:pt idx="47">
                  <c:v>1.4983105537896004</c:v>
                </c:pt>
                <c:pt idx="48">
                  <c:v>1.4941545940184429</c:v>
                </c:pt>
                <c:pt idx="49">
                  <c:v>1.4871383754771865</c:v>
                </c:pt>
                <c:pt idx="50">
                  <c:v>1.4842998393467859</c:v>
                </c:pt>
                <c:pt idx="51">
                  <c:v>1.4683473304121573</c:v>
                </c:pt>
                <c:pt idx="52">
                  <c:v>1.4653828514484182</c:v>
                </c:pt>
                <c:pt idx="53">
                  <c:v>1.4638929889859074</c:v>
                </c:pt>
                <c:pt idx="54">
                  <c:v>1.4623979978989561</c:v>
                </c:pt>
                <c:pt idx="55">
                  <c:v>1.4608978427565478</c:v>
                </c:pt>
                <c:pt idx="56">
                  <c:v>1.4517864355242902</c:v>
                </c:pt>
                <c:pt idx="57">
                  <c:v>1.4487063199050798</c:v>
                </c:pt>
                <c:pt idx="58">
                  <c:v>1.4099331233312946</c:v>
                </c:pt>
                <c:pt idx="59">
                  <c:v>1.4048337166199381</c:v>
                </c:pt>
                <c:pt idx="60">
                  <c:v>1.3944516808262162</c:v>
                </c:pt>
                <c:pt idx="61">
                  <c:v>1.3856062735983121</c:v>
                </c:pt>
                <c:pt idx="62">
                  <c:v>1.3856062735983121</c:v>
                </c:pt>
                <c:pt idx="63">
                  <c:v>1.3820170425748683</c:v>
                </c:pt>
                <c:pt idx="64">
                  <c:v>1.3783979009481377</c:v>
                </c:pt>
                <c:pt idx="65">
                  <c:v>1.3729120029701065</c:v>
                </c:pt>
                <c:pt idx="66">
                  <c:v>1.3710678622717363</c:v>
                </c:pt>
                <c:pt idx="67">
                  <c:v>1.3502480183341627</c:v>
                </c:pt>
                <c:pt idx="68">
                  <c:v>1.3443922736851108</c:v>
                </c:pt>
                <c:pt idx="69">
                  <c:v>1.3222192947339193</c:v>
                </c:pt>
                <c:pt idx="70">
                  <c:v>1.3159703454569178</c:v>
                </c:pt>
                <c:pt idx="71">
                  <c:v>1.307496037913213</c:v>
                </c:pt>
                <c:pt idx="72">
                  <c:v>1.2944662261615929</c:v>
                </c:pt>
                <c:pt idx="73">
                  <c:v>1.2944662261615929</c:v>
                </c:pt>
                <c:pt idx="74">
                  <c:v>1.2810333672477277</c:v>
                </c:pt>
                <c:pt idx="75">
                  <c:v>1.271841606536499</c:v>
                </c:pt>
                <c:pt idx="76">
                  <c:v>1.2695129442179163</c:v>
                </c:pt>
                <c:pt idx="77">
                  <c:v>1.2648178230095364</c:v>
                </c:pt>
                <c:pt idx="78">
                  <c:v>1.2355284469075489</c:v>
                </c:pt>
                <c:pt idx="79">
                  <c:v>1.2304489213782739</c:v>
                </c:pt>
                <c:pt idx="80">
                  <c:v>1.2121876044039579</c:v>
                </c:pt>
                <c:pt idx="81">
                  <c:v>1.209515014542631</c:v>
                </c:pt>
                <c:pt idx="82">
                  <c:v>1.1986570869544226</c:v>
                </c:pt>
                <c:pt idx="83">
                  <c:v>1.1522883443830565</c:v>
                </c:pt>
                <c:pt idx="84">
                  <c:v>1.0755469613925308</c:v>
                </c:pt>
                <c:pt idx="85">
                  <c:v>0.94299959336604045</c:v>
                </c:pt>
              </c:numCache>
            </c:numRef>
          </c:val>
          <c:smooth val="0"/>
        </c:ser>
        <c:ser>
          <c:idx val="2"/>
          <c:order val="2"/>
          <c:tx>
            <c:v>Andersons Ck</c:v>
          </c:tx>
          <c:marker>
            <c:symbol val="none"/>
          </c:marker>
          <c:val>
            <c:numRef>
              <c:f>Serp!$AG$7:$AG$35</c:f>
              <c:numCache>
                <c:formatCode>General</c:formatCode>
                <c:ptCount val="29"/>
                <c:pt idx="0">
                  <c:v>2.1172712956557644</c:v>
                </c:pt>
                <c:pt idx="1">
                  <c:v>1.9057958803678685</c:v>
                </c:pt>
                <c:pt idx="2">
                  <c:v>1.711807229041191</c:v>
                </c:pt>
                <c:pt idx="3">
                  <c:v>1.6989700043360187</c:v>
                </c:pt>
                <c:pt idx="4">
                  <c:v>1.667452952889954</c:v>
                </c:pt>
                <c:pt idx="5">
                  <c:v>1.6211762817750353</c:v>
                </c:pt>
                <c:pt idx="6">
                  <c:v>1.5575072019056579</c:v>
                </c:pt>
                <c:pt idx="7">
                  <c:v>1.5477747053878226</c:v>
                </c:pt>
                <c:pt idx="8">
                  <c:v>1.424881636631067</c:v>
                </c:pt>
                <c:pt idx="9">
                  <c:v>1.4116197059632303</c:v>
                </c:pt>
                <c:pt idx="10">
                  <c:v>1.4099331233312946</c:v>
                </c:pt>
                <c:pt idx="11">
                  <c:v>1.3138672203691535</c:v>
                </c:pt>
                <c:pt idx="12">
                  <c:v>1.3096301674258988</c:v>
                </c:pt>
                <c:pt idx="13">
                  <c:v>1.2227164711475833</c:v>
                </c:pt>
                <c:pt idx="14">
                  <c:v>1.2227164711475833</c:v>
                </c:pt>
                <c:pt idx="15">
                  <c:v>1.2041199826559248</c:v>
                </c:pt>
                <c:pt idx="16">
                  <c:v>1.0934216851622351</c:v>
                </c:pt>
                <c:pt idx="17">
                  <c:v>1.0899051114393981</c:v>
                </c:pt>
                <c:pt idx="18">
                  <c:v>1.0530784434834197</c:v>
                </c:pt>
                <c:pt idx="19">
                  <c:v>0.98944981766669182</c:v>
                </c:pt>
                <c:pt idx="20">
                  <c:v>0.87794695162918823</c:v>
                </c:pt>
                <c:pt idx="21">
                  <c:v>0.85308952985186559</c:v>
                </c:pt>
                <c:pt idx="22">
                  <c:v>0.84695532501982396</c:v>
                </c:pt>
                <c:pt idx="23">
                  <c:v>0.82020145948564027</c:v>
                </c:pt>
                <c:pt idx="24">
                  <c:v>0.80345711564841393</c:v>
                </c:pt>
                <c:pt idx="25">
                  <c:v>0.70243053644552533</c:v>
                </c:pt>
                <c:pt idx="26">
                  <c:v>0.59328606702045728</c:v>
                </c:pt>
                <c:pt idx="27">
                  <c:v>-0.22914798835785583</c:v>
                </c:pt>
                <c:pt idx="28">
                  <c:v>-0.3010299956639812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9806352"/>
        <c:axId val="899807440"/>
      </c:lineChart>
      <c:catAx>
        <c:axId val="89980635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low"/>
        <c:crossAx val="899807440"/>
        <c:crosses val="autoZero"/>
        <c:auto val="0"/>
        <c:lblAlgn val="ctr"/>
        <c:lblOffset val="100"/>
        <c:tickLblSkip val="10"/>
        <c:tickMarkSkip val="5"/>
        <c:noMultiLvlLbl val="0"/>
      </c:catAx>
      <c:valAx>
        <c:axId val="899807440"/>
        <c:scaling>
          <c:orientation val="minMax"/>
        </c:scaling>
        <c:delete val="0"/>
        <c:axPos val="r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(</a:t>
                </a:r>
                <a:r>
                  <a:rPr lang="en-US" i="1"/>
                  <a:t>k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99806352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>
        <c:manualLayout>
          <c:xMode val="edge"/>
          <c:yMode val="edge"/>
          <c:x val="2.3774069319640566E-2"/>
          <c:y val="0.44353271058508975"/>
          <c:w val="0.21884467265725291"/>
          <c:h val="0.22463246442020834"/>
        </c:manualLayout>
      </c:layout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Ultramafic susceptibilities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Andersons Ck</c:v>
          </c:tx>
          <c:spPr>
            <a:solidFill>
              <a:schemeClr val="accent3"/>
            </a:solidFill>
          </c:spPr>
          <c:invertIfNegative val="0"/>
          <c:cat>
            <c:strRef>
              <c:f>Serp!$AK$7:$AK$32</c:f>
              <c:strCache>
                <c:ptCount val="26"/>
                <c:pt idx="0">
                  <c:v>0-5</c:v>
                </c:pt>
                <c:pt idx="1">
                  <c:v>5-10</c:v>
                </c:pt>
                <c:pt idx="2">
                  <c:v>10-15</c:v>
                </c:pt>
                <c:pt idx="3">
                  <c:v>15-20</c:v>
                </c:pt>
                <c:pt idx="4">
                  <c:v>20-25</c:v>
                </c:pt>
                <c:pt idx="5">
                  <c:v>25-30</c:v>
                </c:pt>
                <c:pt idx="6">
                  <c:v>30-35</c:v>
                </c:pt>
                <c:pt idx="7">
                  <c:v>35-40</c:v>
                </c:pt>
                <c:pt idx="8">
                  <c:v>40-45</c:v>
                </c:pt>
                <c:pt idx="9">
                  <c:v>45-50</c:v>
                </c:pt>
                <c:pt idx="10">
                  <c:v>50-55</c:v>
                </c:pt>
                <c:pt idx="11">
                  <c:v>55-60</c:v>
                </c:pt>
                <c:pt idx="12">
                  <c:v>60-65</c:v>
                </c:pt>
                <c:pt idx="13">
                  <c:v>65-70</c:v>
                </c:pt>
                <c:pt idx="14">
                  <c:v>70-75</c:v>
                </c:pt>
                <c:pt idx="15">
                  <c:v>75-80</c:v>
                </c:pt>
                <c:pt idx="16">
                  <c:v>80-85</c:v>
                </c:pt>
                <c:pt idx="17">
                  <c:v>85-90</c:v>
                </c:pt>
                <c:pt idx="18">
                  <c:v>90-95</c:v>
                </c:pt>
                <c:pt idx="19">
                  <c:v>95-100</c:v>
                </c:pt>
                <c:pt idx="20">
                  <c:v>100-110</c:v>
                </c:pt>
                <c:pt idx="21">
                  <c:v>110-120</c:v>
                </c:pt>
                <c:pt idx="22">
                  <c:v>120-130</c:v>
                </c:pt>
                <c:pt idx="23">
                  <c:v>130-140</c:v>
                </c:pt>
                <c:pt idx="24">
                  <c:v>140-150</c:v>
                </c:pt>
                <c:pt idx="25">
                  <c:v>&gt;150</c:v>
                </c:pt>
              </c:strCache>
            </c:strRef>
          </c:cat>
          <c:val>
            <c:numRef>
              <c:f>Serp!$AL$7:$AL$32</c:f>
              <c:numCache>
                <c:formatCode>General</c:formatCode>
                <c:ptCount val="26"/>
                <c:pt idx="0">
                  <c:v>3</c:v>
                </c:pt>
                <c:pt idx="1">
                  <c:v>7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ser>
          <c:idx val="1"/>
          <c:order val="1"/>
          <c:tx>
            <c:v>Waratah</c:v>
          </c:tx>
          <c:spPr>
            <a:solidFill>
              <a:schemeClr val="accent1"/>
            </a:solidFill>
          </c:spPr>
          <c:invertIfNegative val="0"/>
          <c:cat>
            <c:strRef>
              <c:f>Serp!$AK$7:$AK$32</c:f>
              <c:strCache>
                <c:ptCount val="26"/>
                <c:pt idx="0">
                  <c:v>0-5</c:v>
                </c:pt>
                <c:pt idx="1">
                  <c:v>5-10</c:v>
                </c:pt>
                <c:pt idx="2">
                  <c:v>10-15</c:v>
                </c:pt>
                <c:pt idx="3">
                  <c:v>15-20</c:v>
                </c:pt>
                <c:pt idx="4">
                  <c:v>20-25</c:v>
                </c:pt>
                <c:pt idx="5">
                  <c:v>25-30</c:v>
                </c:pt>
                <c:pt idx="6">
                  <c:v>30-35</c:v>
                </c:pt>
                <c:pt idx="7">
                  <c:v>35-40</c:v>
                </c:pt>
                <c:pt idx="8">
                  <c:v>40-45</c:v>
                </c:pt>
                <c:pt idx="9">
                  <c:v>45-50</c:v>
                </c:pt>
                <c:pt idx="10">
                  <c:v>50-55</c:v>
                </c:pt>
                <c:pt idx="11">
                  <c:v>55-60</c:v>
                </c:pt>
                <c:pt idx="12">
                  <c:v>60-65</c:v>
                </c:pt>
                <c:pt idx="13">
                  <c:v>65-70</c:v>
                </c:pt>
                <c:pt idx="14">
                  <c:v>70-75</c:v>
                </c:pt>
                <c:pt idx="15">
                  <c:v>75-80</c:v>
                </c:pt>
                <c:pt idx="16">
                  <c:v>80-85</c:v>
                </c:pt>
                <c:pt idx="17">
                  <c:v>85-90</c:v>
                </c:pt>
                <c:pt idx="18">
                  <c:v>90-95</c:v>
                </c:pt>
                <c:pt idx="19">
                  <c:v>95-100</c:v>
                </c:pt>
                <c:pt idx="20">
                  <c:v>100-110</c:v>
                </c:pt>
                <c:pt idx="21">
                  <c:v>110-120</c:v>
                </c:pt>
                <c:pt idx="22">
                  <c:v>120-130</c:v>
                </c:pt>
                <c:pt idx="23">
                  <c:v>130-140</c:v>
                </c:pt>
                <c:pt idx="24">
                  <c:v>140-150</c:v>
                </c:pt>
                <c:pt idx="25">
                  <c:v>&gt;150</c:v>
                </c:pt>
              </c:strCache>
            </c:strRef>
          </c:cat>
          <c:val>
            <c:numRef>
              <c:f>Serp!$AN$7:$AN$32</c:f>
              <c:numCache>
                <c:formatCode>General</c:formatCode>
                <c:ptCount val="26"/>
                <c:pt idx="0">
                  <c:v>9</c:v>
                </c:pt>
                <c:pt idx="1">
                  <c:v>2</c:v>
                </c:pt>
                <c:pt idx="2">
                  <c:v>1</c:v>
                </c:pt>
                <c:pt idx="3">
                  <c:v>8</c:v>
                </c:pt>
                <c:pt idx="4">
                  <c:v>12</c:v>
                </c:pt>
                <c:pt idx="5">
                  <c:v>6</c:v>
                </c:pt>
                <c:pt idx="6">
                  <c:v>4</c:v>
                </c:pt>
                <c:pt idx="7">
                  <c:v>8</c:v>
                </c:pt>
                <c:pt idx="8">
                  <c:v>10</c:v>
                </c:pt>
                <c:pt idx="9">
                  <c:v>5</c:v>
                </c:pt>
                <c:pt idx="10">
                  <c:v>8</c:v>
                </c:pt>
                <c:pt idx="11">
                  <c:v>7</c:v>
                </c:pt>
                <c:pt idx="12">
                  <c:v>4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</c:numCache>
            </c:numRef>
          </c:val>
        </c:ser>
        <c:ser>
          <c:idx val="2"/>
          <c:order val="2"/>
          <c:tx>
            <c:v>Forth</c:v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Serp!$AK$7:$AK$32</c:f>
              <c:strCache>
                <c:ptCount val="26"/>
                <c:pt idx="0">
                  <c:v>0-5</c:v>
                </c:pt>
                <c:pt idx="1">
                  <c:v>5-10</c:v>
                </c:pt>
                <c:pt idx="2">
                  <c:v>10-15</c:v>
                </c:pt>
                <c:pt idx="3">
                  <c:v>15-20</c:v>
                </c:pt>
                <c:pt idx="4">
                  <c:v>20-25</c:v>
                </c:pt>
                <c:pt idx="5">
                  <c:v>25-30</c:v>
                </c:pt>
                <c:pt idx="6">
                  <c:v>30-35</c:v>
                </c:pt>
                <c:pt idx="7">
                  <c:v>35-40</c:v>
                </c:pt>
                <c:pt idx="8">
                  <c:v>40-45</c:v>
                </c:pt>
                <c:pt idx="9">
                  <c:v>45-50</c:v>
                </c:pt>
                <c:pt idx="10">
                  <c:v>50-55</c:v>
                </c:pt>
                <c:pt idx="11">
                  <c:v>55-60</c:v>
                </c:pt>
                <c:pt idx="12">
                  <c:v>60-65</c:v>
                </c:pt>
                <c:pt idx="13">
                  <c:v>65-70</c:v>
                </c:pt>
                <c:pt idx="14">
                  <c:v>70-75</c:v>
                </c:pt>
                <c:pt idx="15">
                  <c:v>75-80</c:v>
                </c:pt>
                <c:pt idx="16">
                  <c:v>80-85</c:v>
                </c:pt>
                <c:pt idx="17">
                  <c:v>85-90</c:v>
                </c:pt>
                <c:pt idx="18">
                  <c:v>90-95</c:v>
                </c:pt>
                <c:pt idx="19">
                  <c:v>95-100</c:v>
                </c:pt>
                <c:pt idx="20">
                  <c:v>100-110</c:v>
                </c:pt>
                <c:pt idx="21">
                  <c:v>110-120</c:v>
                </c:pt>
                <c:pt idx="22">
                  <c:v>120-130</c:v>
                </c:pt>
                <c:pt idx="23">
                  <c:v>130-140</c:v>
                </c:pt>
                <c:pt idx="24">
                  <c:v>140-150</c:v>
                </c:pt>
                <c:pt idx="25">
                  <c:v>&gt;150</c:v>
                </c:pt>
              </c:strCache>
            </c:strRef>
          </c:cat>
          <c:val>
            <c:numRef>
              <c:f>Serp!$AP$7:$AP$32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11</c:v>
                </c:pt>
                <c:pt idx="4">
                  <c:v>12</c:v>
                </c:pt>
                <c:pt idx="5">
                  <c:v>9</c:v>
                </c:pt>
                <c:pt idx="6">
                  <c:v>13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5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9814512"/>
        <c:axId val="899810160"/>
      </c:barChart>
      <c:catAx>
        <c:axId val="89981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Susceptibility x 1</a:t>
                </a:r>
                <a:r>
                  <a:rPr lang="en-AU" sz="1000" b="1" i="0" u="none" strike="noStrike" baseline="0"/>
                  <a:t>0</a:t>
                </a:r>
                <a:r>
                  <a:rPr lang="en-AU" sz="1000" b="1" i="0" u="none" strike="noStrike" baseline="30000"/>
                  <a:t>-3</a:t>
                </a:r>
                <a:r>
                  <a:rPr lang="en-US"/>
                  <a:t> </a:t>
                </a:r>
                <a:r>
                  <a:rPr lang="en-US" sz="1000" b="1" i="0" u="none" strike="noStrike" baseline="0"/>
                  <a:t>SI units </a:t>
                </a:r>
                <a:r>
                  <a:rPr lang="en-US"/>
                  <a:t>  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99810160"/>
        <c:crosses val="autoZero"/>
        <c:auto val="1"/>
        <c:lblAlgn val="ctr"/>
        <c:lblOffset val="100"/>
        <c:noMultiLvlLbl val="0"/>
      </c:catAx>
      <c:valAx>
        <c:axId val="899810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9814512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Togari mafics</a:t>
            </a:r>
          </a:p>
          <a:p>
            <a:pPr>
              <a:defRPr/>
            </a:pPr>
            <a:r>
              <a:rPr lang="en-US" sz="1200"/>
              <a:t>cumulative log frequency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Togari_Mafics!$M$3</c:f>
              <c:strCache>
                <c:ptCount val="1"/>
                <c:pt idx="0">
                  <c:v>Togari mafics</c:v>
                </c:pt>
              </c:strCache>
            </c:strRef>
          </c:tx>
          <c:marker>
            <c:symbol val="none"/>
          </c:marker>
          <c:val>
            <c:numRef>
              <c:f>Togari_Mafics!$M$7:$M$67</c:f>
              <c:numCache>
                <c:formatCode>General</c:formatCode>
                <c:ptCount val="61"/>
                <c:pt idx="0">
                  <c:v>8.6359830674748214E-2</c:v>
                </c:pt>
                <c:pt idx="1">
                  <c:v>0.1553360374650618</c:v>
                </c:pt>
                <c:pt idx="2">
                  <c:v>0.15836249209524964</c:v>
                </c:pt>
                <c:pt idx="3">
                  <c:v>0.15836249209524964</c:v>
                </c:pt>
                <c:pt idx="4">
                  <c:v>0.16435285578443709</c:v>
                </c:pt>
                <c:pt idx="5">
                  <c:v>0.17026171539495738</c:v>
                </c:pt>
                <c:pt idx="6">
                  <c:v>0.17897694729316943</c:v>
                </c:pt>
                <c:pt idx="7">
                  <c:v>0.18469143081759881</c:v>
                </c:pt>
                <c:pt idx="8">
                  <c:v>0.18752072083646307</c:v>
                </c:pt>
                <c:pt idx="9">
                  <c:v>0.19312459835446161</c:v>
                </c:pt>
                <c:pt idx="10">
                  <c:v>0.19589965240923368</c:v>
                </c:pt>
                <c:pt idx="11">
                  <c:v>0.19589965240923368</c:v>
                </c:pt>
                <c:pt idx="12">
                  <c:v>0.19865708695442263</c:v>
                </c:pt>
                <c:pt idx="13">
                  <c:v>0.20139712432045145</c:v>
                </c:pt>
                <c:pt idx="14">
                  <c:v>0.20411998265592479</c:v>
                </c:pt>
                <c:pt idx="15">
                  <c:v>0.20682587603184968</c:v>
                </c:pt>
                <c:pt idx="16">
                  <c:v>0.20682587603184968</c:v>
                </c:pt>
                <c:pt idx="17">
                  <c:v>0.21218760440395779</c:v>
                </c:pt>
                <c:pt idx="18">
                  <c:v>0.21218760440395779</c:v>
                </c:pt>
                <c:pt idx="19">
                  <c:v>0.21218760440395779</c:v>
                </c:pt>
                <c:pt idx="20">
                  <c:v>0.21484384804769791</c:v>
                </c:pt>
                <c:pt idx="21">
                  <c:v>0.22010808804005513</c:v>
                </c:pt>
                <c:pt idx="22">
                  <c:v>0.22010808804005513</c:v>
                </c:pt>
                <c:pt idx="23">
                  <c:v>0.22010808804005513</c:v>
                </c:pt>
                <c:pt idx="24">
                  <c:v>0.22271647114758325</c:v>
                </c:pt>
                <c:pt idx="25">
                  <c:v>0.23044892137827391</c:v>
                </c:pt>
                <c:pt idx="26">
                  <c:v>0.23044892137827391</c:v>
                </c:pt>
                <c:pt idx="27">
                  <c:v>0.23044892137827391</c:v>
                </c:pt>
                <c:pt idx="28">
                  <c:v>0.23299611039215382</c:v>
                </c:pt>
                <c:pt idx="29">
                  <c:v>0.23299611039215382</c:v>
                </c:pt>
                <c:pt idx="30">
                  <c:v>0.24303804868629444</c:v>
                </c:pt>
                <c:pt idx="31">
                  <c:v>0.24551266781414982</c:v>
                </c:pt>
                <c:pt idx="32">
                  <c:v>0.24797326636180664</c:v>
                </c:pt>
                <c:pt idx="33">
                  <c:v>0.24797326636180664</c:v>
                </c:pt>
                <c:pt idx="34">
                  <c:v>0.250420002308894</c:v>
                </c:pt>
                <c:pt idx="35">
                  <c:v>0.25527250510330607</c:v>
                </c:pt>
                <c:pt idx="36">
                  <c:v>0.26007138798507473</c:v>
                </c:pt>
                <c:pt idx="37">
                  <c:v>0.26245108973042947</c:v>
                </c:pt>
                <c:pt idx="38">
                  <c:v>0.26481782300953643</c:v>
                </c:pt>
                <c:pt idx="39">
                  <c:v>0.26717172840301384</c:v>
                </c:pt>
                <c:pt idx="40">
                  <c:v>0.26717172840301384</c:v>
                </c:pt>
                <c:pt idx="41">
                  <c:v>0.26951294421791627</c:v>
                </c:pt>
                <c:pt idx="42">
                  <c:v>0.27184160653649897</c:v>
                </c:pt>
                <c:pt idx="43">
                  <c:v>0.27646180417324417</c:v>
                </c:pt>
                <c:pt idx="44">
                  <c:v>0.27646180417324417</c:v>
                </c:pt>
                <c:pt idx="45">
                  <c:v>0.27875360095282892</c:v>
                </c:pt>
                <c:pt idx="46">
                  <c:v>0.28330122870354957</c:v>
                </c:pt>
                <c:pt idx="47">
                  <c:v>0.29003461136251801</c:v>
                </c:pt>
                <c:pt idx="48">
                  <c:v>0.29003461136251801</c:v>
                </c:pt>
                <c:pt idx="49">
                  <c:v>0.29225607135647602</c:v>
                </c:pt>
                <c:pt idx="50">
                  <c:v>0.30319605742048883</c:v>
                </c:pt>
                <c:pt idx="51">
                  <c:v>0.30963016742589877</c:v>
                </c:pt>
                <c:pt idx="52">
                  <c:v>0.31175386105575426</c:v>
                </c:pt>
                <c:pt idx="53">
                  <c:v>0.31386722036915343</c:v>
                </c:pt>
                <c:pt idx="54">
                  <c:v>0.35793484700045386</c:v>
                </c:pt>
                <c:pt idx="55">
                  <c:v>0.37291200297010663</c:v>
                </c:pt>
                <c:pt idx="56">
                  <c:v>0.75281643118827146</c:v>
                </c:pt>
                <c:pt idx="57">
                  <c:v>0.83314711191278512</c:v>
                </c:pt>
                <c:pt idx="58">
                  <c:v>0.92376196082870032</c:v>
                </c:pt>
                <c:pt idx="59">
                  <c:v>0.9242792860618817</c:v>
                </c:pt>
                <c:pt idx="60">
                  <c:v>0.96614173273903259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7169584"/>
        <c:axId val="877172848"/>
      </c:lineChart>
      <c:catAx>
        <c:axId val="87716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77172848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877172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Log10 Sus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77169584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0"/>
    </a:gradFill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Ultramafic susceptibilities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</c:spPr>
          <c:invertIfNegative val="0"/>
          <c:cat>
            <c:strRef>
              <c:f>Serp!$AK$7:$AK$30</c:f>
              <c:strCache>
                <c:ptCount val="24"/>
                <c:pt idx="0">
                  <c:v>0-5</c:v>
                </c:pt>
                <c:pt idx="1">
                  <c:v>5-10</c:v>
                </c:pt>
                <c:pt idx="2">
                  <c:v>10-15</c:v>
                </c:pt>
                <c:pt idx="3">
                  <c:v>15-20</c:v>
                </c:pt>
                <c:pt idx="4">
                  <c:v>20-25</c:v>
                </c:pt>
                <c:pt idx="5">
                  <c:v>25-30</c:v>
                </c:pt>
                <c:pt idx="6">
                  <c:v>30-35</c:v>
                </c:pt>
                <c:pt idx="7">
                  <c:v>35-40</c:v>
                </c:pt>
                <c:pt idx="8">
                  <c:v>40-45</c:v>
                </c:pt>
                <c:pt idx="9">
                  <c:v>45-50</c:v>
                </c:pt>
                <c:pt idx="10">
                  <c:v>50-55</c:v>
                </c:pt>
                <c:pt idx="11">
                  <c:v>55-60</c:v>
                </c:pt>
                <c:pt idx="12">
                  <c:v>60-65</c:v>
                </c:pt>
                <c:pt idx="13">
                  <c:v>65-70</c:v>
                </c:pt>
                <c:pt idx="14">
                  <c:v>70-75</c:v>
                </c:pt>
                <c:pt idx="15">
                  <c:v>75-80</c:v>
                </c:pt>
                <c:pt idx="16">
                  <c:v>80-85</c:v>
                </c:pt>
                <c:pt idx="17">
                  <c:v>85-90</c:v>
                </c:pt>
                <c:pt idx="18">
                  <c:v>90-95</c:v>
                </c:pt>
                <c:pt idx="19">
                  <c:v>95-100</c:v>
                </c:pt>
                <c:pt idx="20">
                  <c:v>100-110</c:v>
                </c:pt>
                <c:pt idx="21">
                  <c:v>110-120</c:v>
                </c:pt>
                <c:pt idx="22">
                  <c:v>120-130</c:v>
                </c:pt>
                <c:pt idx="23">
                  <c:v>130-140</c:v>
                </c:pt>
              </c:strCache>
            </c:strRef>
          </c:cat>
          <c:val>
            <c:numRef>
              <c:f>Serp!$AL$7:$AL$30</c:f>
              <c:numCache>
                <c:formatCode>General</c:formatCode>
                <c:ptCount val="24"/>
                <c:pt idx="0">
                  <c:v>3</c:v>
                </c:pt>
                <c:pt idx="1">
                  <c:v>7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9809072"/>
        <c:axId val="899812336"/>
      </c:barChart>
      <c:catAx>
        <c:axId val="89980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Susceptibility x 1</a:t>
                </a:r>
                <a:r>
                  <a:rPr lang="en-AU" sz="1000" b="1" i="0" u="none" strike="noStrike" baseline="0"/>
                  <a:t>0</a:t>
                </a:r>
                <a:r>
                  <a:rPr lang="en-AU" sz="1000" b="1" i="0" u="none" strike="noStrike" baseline="30000"/>
                  <a:t>-3</a:t>
                </a:r>
                <a:r>
                  <a:rPr lang="en-US"/>
                  <a:t> </a:t>
                </a:r>
                <a:r>
                  <a:rPr lang="en-US" sz="1000" b="1" i="0" u="none" strike="noStrike" baseline="0"/>
                  <a:t>SI units </a:t>
                </a:r>
                <a:r>
                  <a:rPr lang="en-US"/>
                  <a:t>  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99812336"/>
        <c:crosses val="autoZero"/>
        <c:auto val="1"/>
        <c:lblAlgn val="ctr"/>
        <c:lblOffset val="100"/>
        <c:noMultiLvlLbl val="0"/>
      </c:catAx>
      <c:valAx>
        <c:axId val="8998123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9809072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Gabbro </a:t>
            </a:r>
          </a:p>
          <a:p>
            <a:pPr>
              <a:defRPr/>
            </a:pPr>
            <a:r>
              <a:rPr lang="en-US"/>
              <a:t>Andersons Creek Ultramafic Complex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Gabbro</c:v>
          </c:tx>
          <c:invertIfNegative val="0"/>
          <c:cat>
            <c:strRef>
              <c:f>Gabbro!$F$7:$F$21</c:f>
              <c:strCache>
                <c:ptCount val="15"/>
                <c:pt idx="0">
                  <c:v>&lt;0.2</c:v>
                </c:pt>
                <c:pt idx="1">
                  <c:v>0.2-0.3</c:v>
                </c:pt>
                <c:pt idx="2">
                  <c:v>0.3-0.4</c:v>
                </c:pt>
                <c:pt idx="3">
                  <c:v>0.4-0.5</c:v>
                </c:pt>
                <c:pt idx="4">
                  <c:v>0.5-0.6</c:v>
                </c:pt>
                <c:pt idx="5">
                  <c:v>0.6-0.7</c:v>
                </c:pt>
                <c:pt idx="6">
                  <c:v>0.7-0.8</c:v>
                </c:pt>
                <c:pt idx="7">
                  <c:v>0.8-0.9</c:v>
                </c:pt>
                <c:pt idx="8">
                  <c:v>0.9-1.0</c:v>
                </c:pt>
                <c:pt idx="9">
                  <c:v>1.0-1.1</c:v>
                </c:pt>
                <c:pt idx="10">
                  <c:v>1.1-1.2</c:v>
                </c:pt>
                <c:pt idx="11">
                  <c:v>1.2-1.3</c:v>
                </c:pt>
                <c:pt idx="12">
                  <c:v>1.3-1.4</c:v>
                </c:pt>
                <c:pt idx="13">
                  <c:v>1.4-1.5</c:v>
                </c:pt>
                <c:pt idx="14">
                  <c:v>&gt;1.5</c:v>
                </c:pt>
              </c:strCache>
            </c:strRef>
          </c:cat>
          <c:val>
            <c:numRef>
              <c:f>Gabbro!$G$7:$G$21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11</c:v>
                </c:pt>
                <c:pt idx="3">
                  <c:v>5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9820496"/>
        <c:axId val="899810704"/>
      </c:barChart>
      <c:catAx>
        <c:axId val="89982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Susceptibility x 1</a:t>
                </a:r>
                <a:r>
                  <a:rPr lang="en-AU" sz="1000" b="1" i="0" baseline="0"/>
                  <a:t>0</a:t>
                </a:r>
                <a:r>
                  <a:rPr lang="en-AU" sz="1000" b="1" i="0" baseline="30000"/>
                  <a:t>-3</a:t>
                </a:r>
                <a:r>
                  <a:rPr lang="en-US" sz="1000" b="1" i="0" baseline="0"/>
                  <a:t> SI units  </a:t>
                </a:r>
                <a:endParaRPr lang="en-AU" sz="1000" b="1" i="0" baseline="0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899810704"/>
        <c:crosses val="autoZero"/>
        <c:auto val="1"/>
        <c:lblAlgn val="ctr"/>
        <c:lblOffset val="100"/>
        <c:noMultiLvlLbl val="0"/>
      </c:catAx>
      <c:valAx>
        <c:axId val="899810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9820496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lumMod val="60000"/>
            <a:lumOff val="4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Port Sorell Group Susceptibilities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Port Sorell Gp</c:v>
          </c:tx>
          <c:spPr>
            <a:solidFill>
              <a:srgbClr val="C0504D"/>
            </a:solidFill>
          </c:spPr>
          <c:invertIfNegative val="0"/>
          <c:cat>
            <c:strRef>
              <c:f>NeoP_Sed!$I$10:$I$26</c:f>
              <c:strCache>
                <c:ptCount val="17"/>
                <c:pt idx="0">
                  <c:v>&lt;0.01</c:v>
                </c:pt>
                <c:pt idx="1">
                  <c:v>0.01-0.02</c:v>
                </c:pt>
                <c:pt idx="2">
                  <c:v>0.02-0.03</c:v>
                </c:pt>
                <c:pt idx="3">
                  <c:v>0.03-0.04</c:v>
                </c:pt>
                <c:pt idx="4">
                  <c:v>0.04-0.05</c:v>
                </c:pt>
                <c:pt idx="5">
                  <c:v>0.05-0.06</c:v>
                </c:pt>
                <c:pt idx="6">
                  <c:v>0.06-0.07</c:v>
                </c:pt>
                <c:pt idx="7">
                  <c:v>0.07-0.08</c:v>
                </c:pt>
                <c:pt idx="8">
                  <c:v>0.08-0.09</c:v>
                </c:pt>
                <c:pt idx="9">
                  <c:v>0.09-0.10</c:v>
                </c:pt>
                <c:pt idx="10">
                  <c:v>0.10-0.11</c:v>
                </c:pt>
                <c:pt idx="11">
                  <c:v>0.11-0.12</c:v>
                </c:pt>
                <c:pt idx="12">
                  <c:v>0.12-0.13</c:v>
                </c:pt>
                <c:pt idx="13">
                  <c:v>0.13-0.14</c:v>
                </c:pt>
                <c:pt idx="14">
                  <c:v>0.14-0.15</c:v>
                </c:pt>
                <c:pt idx="15">
                  <c:v>0.15-0.16</c:v>
                </c:pt>
                <c:pt idx="16">
                  <c:v>&gt;0.16</c:v>
                </c:pt>
              </c:strCache>
            </c:strRef>
          </c:cat>
          <c:val>
            <c:numRef>
              <c:f>NeoP_Sed!$J$10:$J$26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16</c:v>
                </c:pt>
                <c:pt idx="4">
                  <c:v>9</c:v>
                </c:pt>
                <c:pt idx="5">
                  <c:v>9</c:v>
                </c:pt>
                <c:pt idx="6">
                  <c:v>5</c:v>
                </c:pt>
                <c:pt idx="7">
                  <c:v>7</c:v>
                </c:pt>
                <c:pt idx="8">
                  <c:v>10</c:v>
                </c:pt>
                <c:pt idx="9">
                  <c:v>6</c:v>
                </c:pt>
                <c:pt idx="10">
                  <c:v>4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9811248"/>
        <c:axId val="899817232"/>
      </c:barChart>
      <c:catAx>
        <c:axId val="89981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 Units x 10</a:t>
                </a:r>
                <a:r>
                  <a:rPr lang="en-US" baseline="30000"/>
                  <a:t>-3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899817232"/>
        <c:crosses val="autoZero"/>
        <c:auto val="1"/>
        <c:lblAlgn val="ctr"/>
        <c:lblOffset val="100"/>
        <c:tickLblSkip val="2"/>
        <c:noMultiLvlLbl val="0"/>
      </c:catAx>
      <c:valAx>
        <c:axId val="8998172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9811248"/>
        <c:crosses val="autoZero"/>
        <c:crossBetween val="between"/>
        <c:majorUnit val="5"/>
        <c:minorUnit val="5"/>
      </c:valAx>
      <c:spPr>
        <a:solidFill>
          <a:srgbClr val="EEECE1"/>
        </a:solidFill>
      </c:spPr>
    </c:plotArea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Badger Head Group Susceptibilities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Badger Head Gp Susceptibilities</c:v>
          </c:tx>
          <c:spPr>
            <a:solidFill>
              <a:schemeClr val="accent2"/>
            </a:solidFill>
          </c:spPr>
          <c:invertIfNegative val="0"/>
          <c:cat>
            <c:strRef>
              <c:f>BadgerH_Sed!$J$7:$J$24</c:f>
              <c:strCache>
                <c:ptCount val="18"/>
                <c:pt idx="0">
                  <c:v>&lt;0.01</c:v>
                </c:pt>
                <c:pt idx="1">
                  <c:v>0.01-0.02</c:v>
                </c:pt>
                <c:pt idx="2">
                  <c:v>0.02-0.03</c:v>
                </c:pt>
                <c:pt idx="3">
                  <c:v>0.03-0.04</c:v>
                </c:pt>
                <c:pt idx="4">
                  <c:v>0.04-0.05</c:v>
                </c:pt>
                <c:pt idx="5">
                  <c:v>0.05-0.06</c:v>
                </c:pt>
                <c:pt idx="6">
                  <c:v>0.06-0.07</c:v>
                </c:pt>
                <c:pt idx="7">
                  <c:v>0.07-0.08</c:v>
                </c:pt>
                <c:pt idx="8">
                  <c:v>0.08-0.09</c:v>
                </c:pt>
                <c:pt idx="9">
                  <c:v>0.09-0.10</c:v>
                </c:pt>
                <c:pt idx="10">
                  <c:v>0.10-0.11</c:v>
                </c:pt>
                <c:pt idx="11">
                  <c:v>0.11-0.12</c:v>
                </c:pt>
                <c:pt idx="12">
                  <c:v>0.12-0.13</c:v>
                </c:pt>
                <c:pt idx="13">
                  <c:v>0.13-0.14</c:v>
                </c:pt>
                <c:pt idx="14">
                  <c:v>0.14-0.15</c:v>
                </c:pt>
                <c:pt idx="15">
                  <c:v>0.15-0.16</c:v>
                </c:pt>
                <c:pt idx="16">
                  <c:v>0.16-0.17</c:v>
                </c:pt>
                <c:pt idx="17">
                  <c:v>&gt;0.17</c:v>
                </c:pt>
              </c:strCache>
            </c:strRef>
          </c:cat>
          <c:val>
            <c:numRef>
              <c:f>BadgerH_Sed!$K$7:$K$24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10</c:v>
                </c:pt>
                <c:pt idx="10">
                  <c:v>43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9819408"/>
        <c:axId val="899812880"/>
      </c:barChart>
      <c:catAx>
        <c:axId val="89981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 Units x 10</a:t>
                </a:r>
                <a:r>
                  <a:rPr lang="en-US" baseline="30000"/>
                  <a:t>-3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899812880"/>
        <c:crosses val="autoZero"/>
        <c:auto val="1"/>
        <c:lblAlgn val="ctr"/>
        <c:lblOffset val="100"/>
        <c:noMultiLvlLbl val="0"/>
      </c:catAx>
      <c:valAx>
        <c:axId val="899812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9819408"/>
        <c:crosses val="autoZero"/>
        <c:crossBetween val="between"/>
        <c:majorUnit val="10"/>
        <c:minorUnit val="10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Contact Mmorphosed Mathinna Gp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Contact Mmorphosed Mathinna Gp</c:v>
          </c:tx>
          <c:marker>
            <c:symbol val="none"/>
          </c:marker>
          <c:cat>
            <c:numRef>
              <c:f>Mathna_Gp!$AA$8:$AA$76</c:f>
              <c:numCache>
                <c:formatCode>0%</c:formatCode>
                <c:ptCount val="69"/>
                <c:pt idx="0">
                  <c:v>1.4492753623188406E-2</c:v>
                </c:pt>
                <c:pt idx="1">
                  <c:v>2.8985507246376812E-2</c:v>
                </c:pt>
                <c:pt idx="2">
                  <c:v>4.3478260869565216E-2</c:v>
                </c:pt>
                <c:pt idx="3">
                  <c:v>5.7971014492753624E-2</c:v>
                </c:pt>
                <c:pt idx="4">
                  <c:v>7.2463768115942032E-2</c:v>
                </c:pt>
                <c:pt idx="5">
                  <c:v>8.6956521739130432E-2</c:v>
                </c:pt>
                <c:pt idx="6">
                  <c:v>0.10144927536231885</c:v>
                </c:pt>
                <c:pt idx="7">
                  <c:v>0.11594202898550725</c:v>
                </c:pt>
                <c:pt idx="8">
                  <c:v>0.13043478260869565</c:v>
                </c:pt>
                <c:pt idx="9">
                  <c:v>0.14492753623188406</c:v>
                </c:pt>
                <c:pt idx="10">
                  <c:v>0.15942028985507245</c:v>
                </c:pt>
                <c:pt idx="11">
                  <c:v>0.17391304347826086</c:v>
                </c:pt>
                <c:pt idx="12">
                  <c:v>0.18840579710144928</c:v>
                </c:pt>
                <c:pt idx="13">
                  <c:v>0.20289855072463769</c:v>
                </c:pt>
                <c:pt idx="14">
                  <c:v>0.21739130434782608</c:v>
                </c:pt>
                <c:pt idx="15">
                  <c:v>0.2318840579710145</c:v>
                </c:pt>
                <c:pt idx="16">
                  <c:v>0.24637681159420291</c:v>
                </c:pt>
                <c:pt idx="17">
                  <c:v>0.2608695652173913</c:v>
                </c:pt>
                <c:pt idx="18">
                  <c:v>0.27536231884057971</c:v>
                </c:pt>
                <c:pt idx="19">
                  <c:v>0.28985507246376813</c:v>
                </c:pt>
                <c:pt idx="20">
                  <c:v>0.30434782608695654</c:v>
                </c:pt>
                <c:pt idx="21">
                  <c:v>0.3188405797101449</c:v>
                </c:pt>
                <c:pt idx="22">
                  <c:v>0.33333333333333331</c:v>
                </c:pt>
                <c:pt idx="23">
                  <c:v>0.34782608695652173</c:v>
                </c:pt>
                <c:pt idx="24">
                  <c:v>0.36231884057971014</c:v>
                </c:pt>
                <c:pt idx="25">
                  <c:v>0.37681159420289856</c:v>
                </c:pt>
                <c:pt idx="26">
                  <c:v>0.39130434782608697</c:v>
                </c:pt>
                <c:pt idx="27">
                  <c:v>0.40579710144927539</c:v>
                </c:pt>
                <c:pt idx="28">
                  <c:v>0.42028985507246375</c:v>
                </c:pt>
                <c:pt idx="29">
                  <c:v>0.43478260869565216</c:v>
                </c:pt>
                <c:pt idx="30">
                  <c:v>0.44927536231884058</c:v>
                </c:pt>
                <c:pt idx="31">
                  <c:v>0.46376811594202899</c:v>
                </c:pt>
                <c:pt idx="32">
                  <c:v>0.47826086956521741</c:v>
                </c:pt>
                <c:pt idx="33">
                  <c:v>0.49275362318840582</c:v>
                </c:pt>
                <c:pt idx="34">
                  <c:v>0.50724637681159424</c:v>
                </c:pt>
                <c:pt idx="35">
                  <c:v>0.52173913043478259</c:v>
                </c:pt>
                <c:pt idx="36">
                  <c:v>0.53623188405797106</c:v>
                </c:pt>
                <c:pt idx="37">
                  <c:v>0.55072463768115942</c:v>
                </c:pt>
                <c:pt idx="38">
                  <c:v>0.56521739130434778</c:v>
                </c:pt>
                <c:pt idx="39">
                  <c:v>0.57971014492753625</c:v>
                </c:pt>
                <c:pt idx="40">
                  <c:v>0.59420289855072461</c:v>
                </c:pt>
                <c:pt idx="41">
                  <c:v>0.60869565217391308</c:v>
                </c:pt>
                <c:pt idx="42">
                  <c:v>0.62318840579710144</c:v>
                </c:pt>
                <c:pt idx="43">
                  <c:v>0.6376811594202898</c:v>
                </c:pt>
                <c:pt idx="44">
                  <c:v>0.65217391304347827</c:v>
                </c:pt>
                <c:pt idx="45">
                  <c:v>0.66666666666666663</c:v>
                </c:pt>
                <c:pt idx="46">
                  <c:v>0.6811594202898551</c:v>
                </c:pt>
                <c:pt idx="47">
                  <c:v>0.69565217391304346</c:v>
                </c:pt>
                <c:pt idx="48">
                  <c:v>0.71014492753623193</c:v>
                </c:pt>
                <c:pt idx="49">
                  <c:v>0.72463768115942029</c:v>
                </c:pt>
                <c:pt idx="50">
                  <c:v>0.73913043478260865</c:v>
                </c:pt>
                <c:pt idx="51">
                  <c:v>0.75362318840579712</c:v>
                </c:pt>
                <c:pt idx="52">
                  <c:v>0.76811594202898548</c:v>
                </c:pt>
                <c:pt idx="53">
                  <c:v>0.78260869565217395</c:v>
                </c:pt>
                <c:pt idx="54">
                  <c:v>0.79710144927536231</c:v>
                </c:pt>
                <c:pt idx="55">
                  <c:v>0.81159420289855078</c:v>
                </c:pt>
                <c:pt idx="56">
                  <c:v>0.82608695652173914</c:v>
                </c:pt>
                <c:pt idx="57">
                  <c:v>0.84057971014492749</c:v>
                </c:pt>
                <c:pt idx="58">
                  <c:v>0.85507246376811596</c:v>
                </c:pt>
                <c:pt idx="59">
                  <c:v>0.86956521739130432</c:v>
                </c:pt>
                <c:pt idx="60">
                  <c:v>0.88405797101449279</c:v>
                </c:pt>
                <c:pt idx="61">
                  <c:v>0.89855072463768115</c:v>
                </c:pt>
                <c:pt idx="62">
                  <c:v>0.91304347826086951</c:v>
                </c:pt>
                <c:pt idx="63">
                  <c:v>0.92753623188405798</c:v>
                </c:pt>
                <c:pt idx="64">
                  <c:v>0.94202898550724634</c:v>
                </c:pt>
                <c:pt idx="65">
                  <c:v>0.95652173913043481</c:v>
                </c:pt>
                <c:pt idx="66">
                  <c:v>0.97101449275362317</c:v>
                </c:pt>
                <c:pt idx="67">
                  <c:v>0.98550724637681164</c:v>
                </c:pt>
                <c:pt idx="68">
                  <c:v>1</c:v>
                </c:pt>
              </c:numCache>
            </c:numRef>
          </c:cat>
          <c:val>
            <c:numRef>
              <c:f>Mathna_Gp!$Y$8:$Y$76</c:f>
              <c:numCache>
                <c:formatCode>General</c:formatCode>
                <c:ptCount val="69"/>
                <c:pt idx="0">
                  <c:v>4.1392685158225077E-2</c:v>
                </c:pt>
                <c:pt idx="1">
                  <c:v>4.5322978786657475E-2</c:v>
                </c:pt>
                <c:pt idx="2">
                  <c:v>4.5322978786657475E-2</c:v>
                </c:pt>
                <c:pt idx="3">
                  <c:v>4.9218022670181653E-2</c:v>
                </c:pt>
                <c:pt idx="4">
                  <c:v>5.6904851336472641E-2</c:v>
                </c:pt>
                <c:pt idx="5">
                  <c:v>5.6904851336472641E-2</c:v>
                </c:pt>
                <c:pt idx="6">
                  <c:v>5.6904851336472641E-2</c:v>
                </c:pt>
                <c:pt idx="7">
                  <c:v>5.6904851336472641E-2</c:v>
                </c:pt>
                <c:pt idx="8">
                  <c:v>6.069784035361165E-2</c:v>
                </c:pt>
                <c:pt idx="9">
                  <c:v>6.069784035361165E-2</c:v>
                </c:pt>
                <c:pt idx="10">
                  <c:v>6.069784035361165E-2</c:v>
                </c:pt>
                <c:pt idx="11">
                  <c:v>6.445798922691845E-2</c:v>
                </c:pt>
                <c:pt idx="12">
                  <c:v>6.445798922691845E-2</c:v>
                </c:pt>
                <c:pt idx="13">
                  <c:v>6.445798922691845E-2</c:v>
                </c:pt>
                <c:pt idx="14">
                  <c:v>6.445798922691845E-2</c:v>
                </c:pt>
                <c:pt idx="15">
                  <c:v>6.445798922691845E-2</c:v>
                </c:pt>
                <c:pt idx="16">
                  <c:v>6.8185861746161619E-2</c:v>
                </c:pt>
                <c:pt idx="17">
                  <c:v>6.8185861746161619E-2</c:v>
                </c:pt>
                <c:pt idx="18">
                  <c:v>7.1882007306125359E-2</c:v>
                </c:pt>
                <c:pt idx="19">
                  <c:v>7.1882007306125359E-2</c:v>
                </c:pt>
                <c:pt idx="20">
                  <c:v>7.1882007306125359E-2</c:v>
                </c:pt>
                <c:pt idx="21">
                  <c:v>7.554696139253074E-2</c:v>
                </c:pt>
                <c:pt idx="22">
                  <c:v>7.554696139253074E-2</c:v>
                </c:pt>
                <c:pt idx="23">
                  <c:v>7.554696139253074E-2</c:v>
                </c:pt>
                <c:pt idx="24">
                  <c:v>7.554696139253074E-2</c:v>
                </c:pt>
                <c:pt idx="25">
                  <c:v>7.9181246047624818E-2</c:v>
                </c:pt>
                <c:pt idx="26">
                  <c:v>7.9181246047624818E-2</c:v>
                </c:pt>
                <c:pt idx="27">
                  <c:v>8.2785370316450071E-2</c:v>
                </c:pt>
                <c:pt idx="28">
                  <c:v>8.2785370316450071E-2</c:v>
                </c:pt>
                <c:pt idx="29">
                  <c:v>8.2785370316450071E-2</c:v>
                </c:pt>
                <c:pt idx="30">
                  <c:v>8.9905111439397931E-2</c:v>
                </c:pt>
                <c:pt idx="31">
                  <c:v>8.9905111439397931E-2</c:v>
                </c:pt>
                <c:pt idx="32">
                  <c:v>8.9905111439397931E-2</c:v>
                </c:pt>
                <c:pt idx="33">
                  <c:v>9.3421685162235063E-2</c:v>
                </c:pt>
                <c:pt idx="34">
                  <c:v>9.3421685162235063E-2</c:v>
                </c:pt>
                <c:pt idx="35">
                  <c:v>9.3421685162235063E-2</c:v>
                </c:pt>
                <c:pt idx="36">
                  <c:v>9.691001300805642E-2</c:v>
                </c:pt>
                <c:pt idx="37">
                  <c:v>0.10037054511756291</c:v>
                </c:pt>
                <c:pt idx="38">
                  <c:v>0.10037054511756291</c:v>
                </c:pt>
                <c:pt idx="39">
                  <c:v>0.10037054511756291</c:v>
                </c:pt>
                <c:pt idx="40">
                  <c:v>0.10037054511756291</c:v>
                </c:pt>
                <c:pt idx="41">
                  <c:v>0.10037054511756291</c:v>
                </c:pt>
                <c:pt idx="42">
                  <c:v>0.10037054511756291</c:v>
                </c:pt>
                <c:pt idx="43">
                  <c:v>0.10720996964786837</c:v>
                </c:pt>
                <c:pt idx="44">
                  <c:v>0.10720996964786837</c:v>
                </c:pt>
                <c:pt idx="45">
                  <c:v>0.11058971029924898</c:v>
                </c:pt>
                <c:pt idx="46">
                  <c:v>0.11394335230683679</c:v>
                </c:pt>
                <c:pt idx="47">
                  <c:v>0.11394335230683679</c:v>
                </c:pt>
                <c:pt idx="48">
                  <c:v>0.11394335230683679</c:v>
                </c:pt>
                <c:pt idx="49">
                  <c:v>0.11727129565576427</c:v>
                </c:pt>
                <c:pt idx="50">
                  <c:v>0.12057393120584989</c:v>
                </c:pt>
                <c:pt idx="51">
                  <c:v>0.12057393120584989</c:v>
                </c:pt>
                <c:pt idx="52">
                  <c:v>0.12057393120584989</c:v>
                </c:pt>
                <c:pt idx="53">
                  <c:v>0.12385164096708581</c:v>
                </c:pt>
                <c:pt idx="54">
                  <c:v>0.12710479836480765</c:v>
                </c:pt>
                <c:pt idx="55">
                  <c:v>0.12710479836480765</c:v>
                </c:pt>
                <c:pt idx="56">
                  <c:v>0.12710479836480765</c:v>
                </c:pt>
                <c:pt idx="57">
                  <c:v>0.13033376849500614</c:v>
                </c:pt>
                <c:pt idx="58">
                  <c:v>0.13033376849500614</c:v>
                </c:pt>
                <c:pt idx="59">
                  <c:v>0.13353890837021748</c:v>
                </c:pt>
                <c:pt idx="60">
                  <c:v>0.13353890837021748</c:v>
                </c:pt>
                <c:pt idx="61">
                  <c:v>0.13353890837021748</c:v>
                </c:pt>
                <c:pt idx="62">
                  <c:v>0.13672056715640679</c:v>
                </c:pt>
                <c:pt idx="63">
                  <c:v>0.13672056715640679</c:v>
                </c:pt>
                <c:pt idx="64">
                  <c:v>0.13672056715640679</c:v>
                </c:pt>
                <c:pt idx="65">
                  <c:v>0.13987908640123647</c:v>
                </c:pt>
                <c:pt idx="66">
                  <c:v>0.14301480025409513</c:v>
                </c:pt>
                <c:pt idx="67">
                  <c:v>0.14301480025409513</c:v>
                </c:pt>
                <c:pt idx="68">
                  <c:v>0.14301480025409513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9818320"/>
        <c:axId val="899818864"/>
      </c:lineChart>
      <c:catAx>
        <c:axId val="899818320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crossAx val="899818864"/>
        <c:crosses val="autoZero"/>
        <c:auto val="1"/>
        <c:lblAlgn val="ctr"/>
        <c:lblOffset val="100"/>
        <c:noMultiLvlLbl val="0"/>
      </c:catAx>
      <c:valAx>
        <c:axId val="8998188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(</a:t>
                </a:r>
                <a:r>
                  <a:rPr lang="en-US" i="1"/>
                  <a:t>k</a:t>
                </a:r>
                <a:r>
                  <a:rPr lang="en-US"/>
                  <a:t>+1)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99818320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0.70335417243698861"/>
          <c:y val="0.33057669874599166"/>
          <c:w val="0.21624381751276156"/>
          <c:h val="0.37113808690580452"/>
        </c:manualLayout>
      </c:layout>
      <c:overlay val="0"/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Contact Mmorphosed Mathinna Gp</c:v>
          </c:tx>
          <c:invertIfNegative val="0"/>
          <c:cat>
            <c:strRef>
              <c:f>Mathna_Gp!$P$8:$P$16</c:f>
              <c:strCache>
                <c:ptCount val="9"/>
                <c:pt idx="0">
                  <c:v>&lt;0.05</c:v>
                </c:pt>
                <c:pt idx="1">
                  <c:v>0.05-0.10</c:v>
                </c:pt>
                <c:pt idx="2">
                  <c:v>0.10-0.15</c:v>
                </c:pt>
                <c:pt idx="3">
                  <c:v>0.15-0.20</c:v>
                </c:pt>
                <c:pt idx="4">
                  <c:v>0.20-0.25</c:v>
                </c:pt>
                <c:pt idx="5">
                  <c:v>0.25-0.30</c:v>
                </c:pt>
                <c:pt idx="6">
                  <c:v>0.30-0.35</c:v>
                </c:pt>
                <c:pt idx="7">
                  <c:v>0.35-0.40</c:v>
                </c:pt>
                <c:pt idx="8">
                  <c:v>&gt;0.40</c:v>
                </c:pt>
              </c:strCache>
            </c:strRef>
          </c:cat>
          <c:val>
            <c:numRef>
              <c:f>Mathna_Gp!$Q$8:$Q$16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17</c:v>
                </c:pt>
                <c:pt idx="4">
                  <c:v>11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1540352"/>
        <c:axId val="901536544"/>
      </c:barChart>
      <c:catAx>
        <c:axId val="90154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Susceptibility 10</a:t>
                </a:r>
                <a:r>
                  <a:rPr lang="en-US" baseline="30000"/>
                  <a:t>-3</a:t>
                </a:r>
                <a:r>
                  <a:rPr lang="en-US"/>
                  <a:t> SI Units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901536544"/>
        <c:crosses val="autoZero"/>
        <c:auto val="1"/>
        <c:lblAlgn val="ctr"/>
        <c:lblOffset val="100"/>
        <c:noMultiLvlLbl val="0"/>
      </c:catAx>
      <c:valAx>
        <c:axId val="901536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1540352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Jurassic Dolerite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Jurassic dolerite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Dolerite!$U$8:$U$70</c:f>
              <c:numCache>
                <c:formatCode>0%</c:formatCode>
                <c:ptCount val="63"/>
                <c:pt idx="0">
                  <c:v>1.5873015873015872E-2</c:v>
                </c:pt>
                <c:pt idx="1">
                  <c:v>3.1746031746031744E-2</c:v>
                </c:pt>
                <c:pt idx="2">
                  <c:v>4.7619047619047616E-2</c:v>
                </c:pt>
                <c:pt idx="3">
                  <c:v>6.3492063492063489E-2</c:v>
                </c:pt>
                <c:pt idx="4">
                  <c:v>7.9365079365079361E-2</c:v>
                </c:pt>
                <c:pt idx="5">
                  <c:v>9.5238095238095233E-2</c:v>
                </c:pt>
                <c:pt idx="6">
                  <c:v>0.1111111111111111</c:v>
                </c:pt>
                <c:pt idx="7">
                  <c:v>0.12698412698412698</c:v>
                </c:pt>
                <c:pt idx="8">
                  <c:v>0.14285714285714285</c:v>
                </c:pt>
                <c:pt idx="9">
                  <c:v>0.15873015873015872</c:v>
                </c:pt>
                <c:pt idx="10">
                  <c:v>0.17460317460317459</c:v>
                </c:pt>
                <c:pt idx="11">
                  <c:v>0.19047619047619047</c:v>
                </c:pt>
                <c:pt idx="12">
                  <c:v>0.20634920634920634</c:v>
                </c:pt>
                <c:pt idx="13">
                  <c:v>0.22222222222222221</c:v>
                </c:pt>
                <c:pt idx="14">
                  <c:v>0.23809523809523808</c:v>
                </c:pt>
                <c:pt idx="15">
                  <c:v>0.25396825396825395</c:v>
                </c:pt>
                <c:pt idx="16">
                  <c:v>0.26984126984126983</c:v>
                </c:pt>
                <c:pt idx="17">
                  <c:v>0.2857142857142857</c:v>
                </c:pt>
                <c:pt idx="18">
                  <c:v>0.30158730158730157</c:v>
                </c:pt>
                <c:pt idx="19">
                  <c:v>0.31746031746031744</c:v>
                </c:pt>
                <c:pt idx="20">
                  <c:v>0.33333333333333331</c:v>
                </c:pt>
                <c:pt idx="21">
                  <c:v>0.34920634920634919</c:v>
                </c:pt>
                <c:pt idx="22">
                  <c:v>0.36507936507936506</c:v>
                </c:pt>
                <c:pt idx="23">
                  <c:v>0.38095238095238093</c:v>
                </c:pt>
                <c:pt idx="24">
                  <c:v>0.3968253968253968</c:v>
                </c:pt>
                <c:pt idx="25">
                  <c:v>0.41269841269841268</c:v>
                </c:pt>
                <c:pt idx="26">
                  <c:v>0.42857142857142855</c:v>
                </c:pt>
                <c:pt idx="27">
                  <c:v>0.44444444444444442</c:v>
                </c:pt>
                <c:pt idx="28">
                  <c:v>0.46031746031746029</c:v>
                </c:pt>
                <c:pt idx="29">
                  <c:v>0.47619047619047616</c:v>
                </c:pt>
                <c:pt idx="30">
                  <c:v>0.49206349206349204</c:v>
                </c:pt>
                <c:pt idx="31">
                  <c:v>0.50793650793650791</c:v>
                </c:pt>
                <c:pt idx="32">
                  <c:v>0.52380952380952384</c:v>
                </c:pt>
                <c:pt idx="33">
                  <c:v>0.53968253968253965</c:v>
                </c:pt>
                <c:pt idx="34">
                  <c:v>0.55555555555555558</c:v>
                </c:pt>
                <c:pt idx="35">
                  <c:v>0.5714285714285714</c:v>
                </c:pt>
                <c:pt idx="36">
                  <c:v>0.58730158730158732</c:v>
                </c:pt>
                <c:pt idx="37">
                  <c:v>0.60317460317460314</c:v>
                </c:pt>
                <c:pt idx="38">
                  <c:v>0.61904761904761907</c:v>
                </c:pt>
                <c:pt idx="39">
                  <c:v>0.63492063492063489</c:v>
                </c:pt>
                <c:pt idx="40">
                  <c:v>0.65079365079365081</c:v>
                </c:pt>
                <c:pt idx="41">
                  <c:v>0.66666666666666663</c:v>
                </c:pt>
                <c:pt idx="42">
                  <c:v>0.68253968253968256</c:v>
                </c:pt>
                <c:pt idx="43">
                  <c:v>0.69841269841269837</c:v>
                </c:pt>
                <c:pt idx="44">
                  <c:v>0.7142857142857143</c:v>
                </c:pt>
                <c:pt idx="45">
                  <c:v>0.73015873015873012</c:v>
                </c:pt>
                <c:pt idx="46">
                  <c:v>0.74603174603174605</c:v>
                </c:pt>
                <c:pt idx="47">
                  <c:v>0.76190476190476186</c:v>
                </c:pt>
                <c:pt idx="48">
                  <c:v>0.77777777777777779</c:v>
                </c:pt>
                <c:pt idx="49">
                  <c:v>0.79365079365079361</c:v>
                </c:pt>
                <c:pt idx="50">
                  <c:v>0.80952380952380953</c:v>
                </c:pt>
                <c:pt idx="51">
                  <c:v>0.82539682539682535</c:v>
                </c:pt>
                <c:pt idx="52">
                  <c:v>0.84126984126984128</c:v>
                </c:pt>
                <c:pt idx="53">
                  <c:v>0.8571428571428571</c:v>
                </c:pt>
                <c:pt idx="54">
                  <c:v>0.87301587301587302</c:v>
                </c:pt>
                <c:pt idx="55">
                  <c:v>0.88888888888888884</c:v>
                </c:pt>
                <c:pt idx="56">
                  <c:v>0.90476190476190477</c:v>
                </c:pt>
                <c:pt idx="57">
                  <c:v>0.92063492063492058</c:v>
                </c:pt>
                <c:pt idx="58">
                  <c:v>0.93650793650793651</c:v>
                </c:pt>
                <c:pt idx="59">
                  <c:v>0.95238095238095233</c:v>
                </c:pt>
                <c:pt idx="60">
                  <c:v>0.96825396825396826</c:v>
                </c:pt>
                <c:pt idx="61">
                  <c:v>0.98412698412698407</c:v>
                </c:pt>
                <c:pt idx="62">
                  <c:v>1</c:v>
                </c:pt>
              </c:numCache>
            </c:numRef>
          </c:cat>
          <c:val>
            <c:numRef>
              <c:f>Dolerite!$S$8:$S$70</c:f>
              <c:numCache>
                <c:formatCode>General</c:formatCode>
                <c:ptCount val="63"/>
                <c:pt idx="0">
                  <c:v>1.5646660642520893</c:v>
                </c:pt>
                <c:pt idx="1">
                  <c:v>1.5118833609788744</c:v>
                </c:pt>
                <c:pt idx="2">
                  <c:v>1.5118833609788744</c:v>
                </c:pt>
                <c:pt idx="3">
                  <c:v>1.507855871695831</c:v>
                </c:pt>
                <c:pt idx="4">
                  <c:v>1.4983105537896004</c:v>
                </c:pt>
                <c:pt idx="5">
                  <c:v>1.481442628502305</c:v>
                </c:pt>
                <c:pt idx="6">
                  <c:v>1.4756711883244296</c:v>
                </c:pt>
                <c:pt idx="7">
                  <c:v>1.4668676203541096</c:v>
                </c:pt>
                <c:pt idx="8">
                  <c:v>1.4638929889859074</c:v>
                </c:pt>
                <c:pt idx="9">
                  <c:v>1.4563660331290431</c:v>
                </c:pt>
                <c:pt idx="10">
                  <c:v>1.4440447959180762</c:v>
                </c:pt>
                <c:pt idx="11">
                  <c:v>1.4424797690644486</c:v>
                </c:pt>
                <c:pt idx="12">
                  <c:v>1.4409090820652177</c:v>
                </c:pt>
                <c:pt idx="13">
                  <c:v>1.4393326938302626</c:v>
                </c:pt>
                <c:pt idx="14">
                  <c:v>1.4377505628203879</c:v>
                </c:pt>
                <c:pt idx="15">
                  <c:v>1.436162647040756</c:v>
                </c:pt>
                <c:pt idx="16">
                  <c:v>1.4281347940287887</c:v>
                </c:pt>
                <c:pt idx="17">
                  <c:v>1.4216039268698311</c:v>
                </c:pt>
                <c:pt idx="18">
                  <c:v>1.4116197059632303</c:v>
                </c:pt>
                <c:pt idx="19">
                  <c:v>1.4116197059632303</c:v>
                </c:pt>
                <c:pt idx="20">
                  <c:v>1.4099331233312946</c:v>
                </c:pt>
                <c:pt idx="21">
                  <c:v>1.3996737214810382</c:v>
                </c:pt>
                <c:pt idx="22">
                  <c:v>1.3783979009481377</c:v>
                </c:pt>
                <c:pt idx="23">
                  <c:v>1.3747483460101038</c:v>
                </c:pt>
                <c:pt idx="24">
                  <c:v>1.3710678622717363</c:v>
                </c:pt>
                <c:pt idx="25">
                  <c:v>1.3692158574101427</c:v>
                </c:pt>
                <c:pt idx="26">
                  <c:v>1.3673559210260189</c:v>
                </c:pt>
                <c:pt idx="27">
                  <c:v>1.3654879848908996</c:v>
                </c:pt>
                <c:pt idx="28">
                  <c:v>1.3636119798921444</c:v>
                </c:pt>
                <c:pt idx="29">
                  <c:v>1.3502480183341627</c:v>
                </c:pt>
                <c:pt idx="30">
                  <c:v>1.3502480183341627</c:v>
                </c:pt>
                <c:pt idx="31">
                  <c:v>1.3502480183341627</c:v>
                </c:pt>
                <c:pt idx="32">
                  <c:v>1.3463529744506386</c:v>
                </c:pt>
                <c:pt idx="33">
                  <c:v>1.3443922736851108</c:v>
                </c:pt>
                <c:pt idx="34">
                  <c:v>1.3424226808222062</c:v>
                </c:pt>
                <c:pt idx="35">
                  <c:v>1.3404441148401183</c:v>
                </c:pt>
                <c:pt idx="36">
                  <c:v>1.3384564936046048</c:v>
                </c:pt>
                <c:pt idx="37">
                  <c:v>1.3344537511509309</c:v>
                </c:pt>
                <c:pt idx="38">
                  <c:v>1.3242824552976926</c:v>
                </c:pt>
                <c:pt idx="39">
                  <c:v>1.3222192947339193</c:v>
                </c:pt>
                <c:pt idx="40">
                  <c:v>1.3180633349627615</c:v>
                </c:pt>
                <c:pt idx="41">
                  <c:v>1.3117538610557542</c:v>
                </c:pt>
                <c:pt idx="42">
                  <c:v>1.3010299956639813</c:v>
                </c:pt>
                <c:pt idx="43">
                  <c:v>1.2966651902615312</c:v>
                </c:pt>
                <c:pt idx="44">
                  <c:v>1.2922560713564761</c:v>
                </c:pt>
                <c:pt idx="45">
                  <c:v>1.2900346113625181</c:v>
                </c:pt>
                <c:pt idx="46">
                  <c:v>1.2855573090077739</c:v>
                </c:pt>
                <c:pt idx="47">
                  <c:v>1.2855573090077739</c:v>
                </c:pt>
                <c:pt idx="48">
                  <c:v>1.2741578492636798</c:v>
                </c:pt>
                <c:pt idx="49">
                  <c:v>1.2741578492636798</c:v>
                </c:pt>
                <c:pt idx="50">
                  <c:v>1.271841606536499</c:v>
                </c:pt>
                <c:pt idx="51">
                  <c:v>1.2695129442179163</c:v>
                </c:pt>
                <c:pt idx="52">
                  <c:v>1.2671717284030137</c:v>
                </c:pt>
                <c:pt idx="53">
                  <c:v>1.2600713879850747</c:v>
                </c:pt>
                <c:pt idx="54">
                  <c:v>1.255272505103306</c:v>
                </c:pt>
                <c:pt idx="55">
                  <c:v>1.2528530309798931</c:v>
                </c:pt>
                <c:pt idx="56">
                  <c:v>1.2528530309798931</c:v>
                </c:pt>
                <c:pt idx="57">
                  <c:v>1.2479732663618066</c:v>
                </c:pt>
                <c:pt idx="58">
                  <c:v>1.2455126678141499</c:v>
                </c:pt>
                <c:pt idx="59">
                  <c:v>1.2380461031287955</c:v>
                </c:pt>
                <c:pt idx="60">
                  <c:v>1.2041199826559248</c:v>
                </c:pt>
                <c:pt idx="61">
                  <c:v>1.1553360374650619</c:v>
                </c:pt>
                <c:pt idx="62">
                  <c:v>8.6359830674748214E-2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1533824"/>
        <c:axId val="901544160"/>
      </c:lineChart>
      <c:catAx>
        <c:axId val="90153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percent of samples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901544160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901544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</a:t>
                </a:r>
                <a:r>
                  <a:rPr lang="en-US" baseline="0"/>
                  <a:t>  (</a:t>
                </a:r>
                <a:r>
                  <a:rPr lang="en-US"/>
                  <a:t>Sus+1) 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01533824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lumMod val="60000"/>
            <a:lumOff val="4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Delamerian Dolerite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Dolerite!$AB$8:$AB$68</c:f>
              <c:numCache>
                <c:formatCode>0%</c:formatCode>
                <c:ptCount val="61"/>
                <c:pt idx="0">
                  <c:v>1.6393442622950821E-2</c:v>
                </c:pt>
                <c:pt idx="1">
                  <c:v>3.2786885245901641E-2</c:v>
                </c:pt>
                <c:pt idx="2">
                  <c:v>4.9180327868852458E-2</c:v>
                </c:pt>
                <c:pt idx="3">
                  <c:v>6.5573770491803282E-2</c:v>
                </c:pt>
                <c:pt idx="4">
                  <c:v>8.1967213114754092E-2</c:v>
                </c:pt>
                <c:pt idx="5">
                  <c:v>9.8360655737704916E-2</c:v>
                </c:pt>
                <c:pt idx="6">
                  <c:v>0.11475409836065574</c:v>
                </c:pt>
                <c:pt idx="7">
                  <c:v>0.13114754098360656</c:v>
                </c:pt>
                <c:pt idx="8">
                  <c:v>0.14754098360655737</c:v>
                </c:pt>
                <c:pt idx="9">
                  <c:v>0.16393442622950818</c:v>
                </c:pt>
                <c:pt idx="10">
                  <c:v>0.18032786885245902</c:v>
                </c:pt>
                <c:pt idx="11">
                  <c:v>0.19672131147540983</c:v>
                </c:pt>
                <c:pt idx="12">
                  <c:v>0.21311475409836064</c:v>
                </c:pt>
                <c:pt idx="13">
                  <c:v>0.22950819672131148</c:v>
                </c:pt>
                <c:pt idx="14">
                  <c:v>0.24590163934426229</c:v>
                </c:pt>
                <c:pt idx="15">
                  <c:v>0.26229508196721313</c:v>
                </c:pt>
                <c:pt idx="16">
                  <c:v>0.27868852459016391</c:v>
                </c:pt>
                <c:pt idx="17">
                  <c:v>0.29508196721311475</c:v>
                </c:pt>
                <c:pt idx="18">
                  <c:v>0.31147540983606559</c:v>
                </c:pt>
                <c:pt idx="19">
                  <c:v>0.32786885245901637</c:v>
                </c:pt>
                <c:pt idx="20">
                  <c:v>0.34426229508196721</c:v>
                </c:pt>
                <c:pt idx="21">
                  <c:v>0.36065573770491804</c:v>
                </c:pt>
                <c:pt idx="22">
                  <c:v>0.37704918032786883</c:v>
                </c:pt>
                <c:pt idx="23">
                  <c:v>0.39344262295081966</c:v>
                </c:pt>
                <c:pt idx="24">
                  <c:v>0.4098360655737705</c:v>
                </c:pt>
                <c:pt idx="25">
                  <c:v>0.42622950819672129</c:v>
                </c:pt>
                <c:pt idx="26">
                  <c:v>0.44262295081967212</c:v>
                </c:pt>
                <c:pt idx="27">
                  <c:v>0.45901639344262296</c:v>
                </c:pt>
                <c:pt idx="28">
                  <c:v>0.47540983606557374</c:v>
                </c:pt>
                <c:pt idx="29">
                  <c:v>0.49180327868852458</c:v>
                </c:pt>
                <c:pt idx="30">
                  <c:v>0.50819672131147542</c:v>
                </c:pt>
                <c:pt idx="31">
                  <c:v>0.52459016393442626</c:v>
                </c:pt>
                <c:pt idx="32">
                  <c:v>0.54098360655737709</c:v>
                </c:pt>
                <c:pt idx="33">
                  <c:v>0.55737704918032782</c:v>
                </c:pt>
                <c:pt idx="34">
                  <c:v>0.57377049180327866</c:v>
                </c:pt>
                <c:pt idx="35">
                  <c:v>0.5901639344262295</c:v>
                </c:pt>
                <c:pt idx="36">
                  <c:v>0.60655737704918034</c:v>
                </c:pt>
                <c:pt idx="37">
                  <c:v>0.62295081967213117</c:v>
                </c:pt>
                <c:pt idx="38">
                  <c:v>0.63934426229508201</c:v>
                </c:pt>
                <c:pt idx="39">
                  <c:v>0.65573770491803274</c:v>
                </c:pt>
                <c:pt idx="40">
                  <c:v>0.67213114754098358</c:v>
                </c:pt>
                <c:pt idx="41">
                  <c:v>0.68852459016393441</c:v>
                </c:pt>
                <c:pt idx="42">
                  <c:v>0.70491803278688525</c:v>
                </c:pt>
                <c:pt idx="43">
                  <c:v>0.72131147540983609</c:v>
                </c:pt>
                <c:pt idx="44">
                  <c:v>0.73770491803278693</c:v>
                </c:pt>
                <c:pt idx="45">
                  <c:v>0.75409836065573765</c:v>
                </c:pt>
                <c:pt idx="46">
                  <c:v>0.77049180327868849</c:v>
                </c:pt>
                <c:pt idx="47">
                  <c:v>0.78688524590163933</c:v>
                </c:pt>
                <c:pt idx="48">
                  <c:v>0.80327868852459017</c:v>
                </c:pt>
                <c:pt idx="49">
                  <c:v>0.81967213114754101</c:v>
                </c:pt>
                <c:pt idx="50">
                  <c:v>0.83606557377049184</c:v>
                </c:pt>
                <c:pt idx="51">
                  <c:v>0.85245901639344257</c:v>
                </c:pt>
                <c:pt idx="52">
                  <c:v>0.86885245901639341</c:v>
                </c:pt>
                <c:pt idx="53">
                  <c:v>0.88524590163934425</c:v>
                </c:pt>
                <c:pt idx="54">
                  <c:v>0.90163934426229508</c:v>
                </c:pt>
                <c:pt idx="55">
                  <c:v>0.91803278688524592</c:v>
                </c:pt>
                <c:pt idx="56">
                  <c:v>0.93442622950819676</c:v>
                </c:pt>
                <c:pt idx="57">
                  <c:v>0.95081967213114749</c:v>
                </c:pt>
                <c:pt idx="58">
                  <c:v>0.96721311475409832</c:v>
                </c:pt>
                <c:pt idx="59">
                  <c:v>0.98360655737704916</c:v>
                </c:pt>
                <c:pt idx="60">
                  <c:v>1</c:v>
                </c:pt>
              </c:numCache>
            </c:numRef>
          </c:cat>
          <c:val>
            <c:numRef>
              <c:f>Dolerite!$Z$8:$Z$68</c:f>
              <c:numCache>
                <c:formatCode>General</c:formatCode>
                <c:ptCount val="61"/>
                <c:pt idx="0">
                  <c:v>0.32837960343873768</c:v>
                </c:pt>
                <c:pt idx="1">
                  <c:v>0.31175386105575426</c:v>
                </c:pt>
                <c:pt idx="2">
                  <c:v>0.29885307640970665</c:v>
                </c:pt>
                <c:pt idx="3">
                  <c:v>0.27415784926367981</c:v>
                </c:pt>
                <c:pt idx="4">
                  <c:v>0.27184160653649897</c:v>
                </c:pt>
                <c:pt idx="5">
                  <c:v>0.26717172840301384</c:v>
                </c:pt>
                <c:pt idx="6">
                  <c:v>0.25527250510330607</c:v>
                </c:pt>
                <c:pt idx="7">
                  <c:v>0.2528530309798932</c:v>
                </c:pt>
                <c:pt idx="8">
                  <c:v>0.250420002308894</c:v>
                </c:pt>
                <c:pt idx="9">
                  <c:v>0.250420002308894</c:v>
                </c:pt>
                <c:pt idx="10">
                  <c:v>0.250420002308894</c:v>
                </c:pt>
                <c:pt idx="11">
                  <c:v>0.24797326636180664</c:v>
                </c:pt>
                <c:pt idx="12">
                  <c:v>0.24797326636180664</c:v>
                </c:pt>
                <c:pt idx="13">
                  <c:v>0.24551266781414982</c:v>
                </c:pt>
                <c:pt idx="14">
                  <c:v>0.24551266781414982</c:v>
                </c:pt>
                <c:pt idx="15">
                  <c:v>0.24303804868629444</c:v>
                </c:pt>
                <c:pt idx="16">
                  <c:v>0.24303804868629444</c:v>
                </c:pt>
                <c:pt idx="17">
                  <c:v>0.24054924828259971</c:v>
                </c:pt>
                <c:pt idx="18">
                  <c:v>0.24054924828259971</c:v>
                </c:pt>
                <c:pt idx="19">
                  <c:v>0.24054924828259971</c:v>
                </c:pt>
                <c:pt idx="20">
                  <c:v>0.24054924828259971</c:v>
                </c:pt>
                <c:pt idx="21">
                  <c:v>0.24054924828259971</c:v>
                </c:pt>
                <c:pt idx="22">
                  <c:v>0.2380461031287954</c:v>
                </c:pt>
                <c:pt idx="23">
                  <c:v>0.2380461031287954</c:v>
                </c:pt>
                <c:pt idx="24">
                  <c:v>0.2380461031287954</c:v>
                </c:pt>
                <c:pt idx="25">
                  <c:v>0.2380461031287954</c:v>
                </c:pt>
                <c:pt idx="26">
                  <c:v>0.2380461031287954</c:v>
                </c:pt>
                <c:pt idx="27">
                  <c:v>0.2380461031287954</c:v>
                </c:pt>
                <c:pt idx="28">
                  <c:v>0.2355284469075489</c:v>
                </c:pt>
                <c:pt idx="29">
                  <c:v>0.2355284469075489</c:v>
                </c:pt>
                <c:pt idx="30">
                  <c:v>0.2355284469075489</c:v>
                </c:pt>
                <c:pt idx="31">
                  <c:v>0.2355284469075489</c:v>
                </c:pt>
                <c:pt idx="32">
                  <c:v>0.2355284469075489</c:v>
                </c:pt>
                <c:pt idx="33">
                  <c:v>0.23299611039215382</c:v>
                </c:pt>
                <c:pt idx="34">
                  <c:v>0.23299611039215382</c:v>
                </c:pt>
                <c:pt idx="35">
                  <c:v>0.23299611039215382</c:v>
                </c:pt>
                <c:pt idx="36">
                  <c:v>0.23044892137827391</c:v>
                </c:pt>
                <c:pt idx="37">
                  <c:v>0.23044892137827391</c:v>
                </c:pt>
                <c:pt idx="38">
                  <c:v>0.23044892137827391</c:v>
                </c:pt>
                <c:pt idx="39">
                  <c:v>0.23044892137827391</c:v>
                </c:pt>
                <c:pt idx="40">
                  <c:v>0.23044892137827391</c:v>
                </c:pt>
                <c:pt idx="41">
                  <c:v>0.23044892137827391</c:v>
                </c:pt>
                <c:pt idx="42">
                  <c:v>0.23044892137827391</c:v>
                </c:pt>
                <c:pt idx="43">
                  <c:v>0.22788670461367352</c:v>
                </c:pt>
                <c:pt idx="44">
                  <c:v>0.22788670461367352</c:v>
                </c:pt>
                <c:pt idx="45">
                  <c:v>0.22788670461367352</c:v>
                </c:pt>
                <c:pt idx="46">
                  <c:v>0.22788670461367352</c:v>
                </c:pt>
                <c:pt idx="47">
                  <c:v>0.2253092817258629</c:v>
                </c:pt>
                <c:pt idx="48">
                  <c:v>0.22271647114758325</c:v>
                </c:pt>
                <c:pt idx="49">
                  <c:v>0.22010808804005513</c:v>
                </c:pt>
                <c:pt idx="50">
                  <c:v>0.21484384804769791</c:v>
                </c:pt>
                <c:pt idx="51">
                  <c:v>0.20951501454263097</c:v>
                </c:pt>
                <c:pt idx="52">
                  <c:v>0.20682587603184968</c:v>
                </c:pt>
                <c:pt idx="53">
                  <c:v>0.20682587603184968</c:v>
                </c:pt>
                <c:pt idx="54">
                  <c:v>0.20682587603184968</c:v>
                </c:pt>
                <c:pt idx="55">
                  <c:v>0.19589965240923368</c:v>
                </c:pt>
                <c:pt idx="56">
                  <c:v>0.18752072083646307</c:v>
                </c:pt>
                <c:pt idx="57">
                  <c:v>0.17609125905568124</c:v>
                </c:pt>
                <c:pt idx="58">
                  <c:v>0.17609125905568124</c:v>
                </c:pt>
                <c:pt idx="59">
                  <c:v>0.17609125905568124</c:v>
                </c:pt>
                <c:pt idx="60">
                  <c:v>0.16435285578443709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1543072"/>
        <c:axId val="901543616"/>
      </c:lineChart>
      <c:catAx>
        <c:axId val="90154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Frequency percent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901543616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901543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 (Susc+1)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1543072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lumMod val="60000"/>
            <a:lumOff val="4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Delamerian Dolerite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Delamerian Dolerite</c:v>
          </c:tx>
          <c:spPr>
            <a:solidFill>
              <a:schemeClr val="accent2"/>
            </a:solidFill>
          </c:spPr>
          <c:invertIfNegative val="0"/>
          <c:cat>
            <c:strRef>
              <c:f>Dolerite!$AD$7:$AD$23</c:f>
              <c:strCache>
                <c:ptCount val="17"/>
                <c:pt idx="0">
                  <c:v>&lt;0.4</c:v>
                </c:pt>
                <c:pt idx="1">
                  <c:v>0.4-0.45</c:v>
                </c:pt>
                <c:pt idx="2">
                  <c:v>0.45-0.5</c:v>
                </c:pt>
                <c:pt idx="3">
                  <c:v>0.5-0.55</c:v>
                </c:pt>
                <c:pt idx="4">
                  <c:v>0.55-0.6</c:v>
                </c:pt>
                <c:pt idx="5">
                  <c:v>0.6-0.65</c:v>
                </c:pt>
                <c:pt idx="6">
                  <c:v>0.65-0.7</c:v>
                </c:pt>
                <c:pt idx="7">
                  <c:v>0.7-0.75</c:v>
                </c:pt>
                <c:pt idx="8">
                  <c:v>0.75-0.8</c:v>
                </c:pt>
                <c:pt idx="9">
                  <c:v>0.8-0.85</c:v>
                </c:pt>
                <c:pt idx="10">
                  <c:v>0.85-0.9</c:v>
                </c:pt>
                <c:pt idx="11">
                  <c:v>0.9-0.95</c:v>
                </c:pt>
                <c:pt idx="12">
                  <c:v>0.95-1.0</c:v>
                </c:pt>
                <c:pt idx="13">
                  <c:v>1.0-1.05</c:v>
                </c:pt>
                <c:pt idx="14">
                  <c:v>1.05-1.1</c:v>
                </c:pt>
                <c:pt idx="15">
                  <c:v>1.1-1.15</c:v>
                </c:pt>
                <c:pt idx="16">
                  <c:v>&gt;1.15</c:v>
                </c:pt>
              </c:strCache>
            </c:strRef>
          </c:cat>
          <c:val>
            <c:numRef>
              <c:f>Dolerite!$AE$7:$AE$23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5</c:v>
                </c:pt>
                <c:pt idx="6">
                  <c:v>7</c:v>
                </c:pt>
                <c:pt idx="7">
                  <c:v>26</c:v>
                </c:pt>
                <c:pt idx="8">
                  <c:v>10</c:v>
                </c:pt>
                <c:pt idx="9">
                  <c:v>1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1547424"/>
        <c:axId val="901536000"/>
      </c:barChart>
      <c:catAx>
        <c:axId val="90154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/>
                  <a:t>Susceptibility 1</a:t>
                </a:r>
                <a:r>
                  <a:rPr lang="en-AU" sz="1000" b="1" i="0" u="none" strike="noStrike" baseline="0"/>
                  <a:t>0</a:t>
                </a:r>
                <a:r>
                  <a:rPr lang="en-AU" sz="1000" b="1" i="0" u="none" strike="noStrike" baseline="30000"/>
                  <a:t>-3</a:t>
                </a:r>
                <a:r>
                  <a:rPr lang="en-US" sz="1000" b="1" i="0" u="none" strike="noStrike" baseline="0"/>
                  <a:t> SI units  </a:t>
                </a:r>
                <a:endParaRPr lang="en-AU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901536000"/>
        <c:crosses val="autoZero"/>
        <c:auto val="1"/>
        <c:lblAlgn val="ctr"/>
        <c:lblOffset val="100"/>
        <c:noMultiLvlLbl val="0"/>
      </c:catAx>
      <c:valAx>
        <c:axId val="901536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1547424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chemeClr val="accent1">
            <a:lumMod val="60000"/>
            <a:lumOff val="40000"/>
          </a:scheme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Jurassic Dolerite 29/1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339129483814544"/>
          <c:y val="0.19480351414406533"/>
          <c:w val="0.54186001749781365"/>
          <c:h val="0.50509988334791489"/>
        </c:manualLayout>
      </c:layout>
      <c:barChart>
        <c:barDir val="col"/>
        <c:grouping val="clustered"/>
        <c:varyColors val="0"/>
        <c:ser>
          <c:idx val="0"/>
          <c:order val="0"/>
          <c:tx>
            <c:v>Dolerite, Midlands Hwy</c:v>
          </c:tx>
          <c:invertIfNegative val="0"/>
          <c:cat>
            <c:strRef>
              <c:f>Dolerite!$AG$7:$AG$21</c:f>
              <c:strCache>
                <c:ptCount val="15"/>
                <c:pt idx="0">
                  <c:v>&lt;10</c:v>
                </c:pt>
                <c:pt idx="1">
                  <c:v>10-12</c:v>
                </c:pt>
                <c:pt idx="2">
                  <c:v>12-14</c:v>
                </c:pt>
                <c:pt idx="3">
                  <c:v>14-16</c:v>
                </c:pt>
                <c:pt idx="4">
                  <c:v>16-18</c:v>
                </c:pt>
                <c:pt idx="5">
                  <c:v>18-20</c:v>
                </c:pt>
                <c:pt idx="6">
                  <c:v>20-22</c:v>
                </c:pt>
                <c:pt idx="7">
                  <c:v>22-24</c:v>
                </c:pt>
                <c:pt idx="8">
                  <c:v>24-26</c:v>
                </c:pt>
                <c:pt idx="9">
                  <c:v>26-28</c:v>
                </c:pt>
                <c:pt idx="10">
                  <c:v>28-30</c:v>
                </c:pt>
                <c:pt idx="11">
                  <c:v>30-32</c:v>
                </c:pt>
                <c:pt idx="12">
                  <c:v>32-34</c:v>
                </c:pt>
                <c:pt idx="13">
                  <c:v>34-36</c:v>
                </c:pt>
                <c:pt idx="14">
                  <c:v>&gt;36</c:v>
                </c:pt>
              </c:strCache>
            </c:strRef>
          </c:cat>
          <c:val>
            <c:numRef>
              <c:f>Dolerite!$AH$7:$AH$21</c:f>
              <c:numCache>
                <c:formatCode>General</c:formatCode>
                <c:ptCount val="15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12</c:v>
                </c:pt>
                <c:pt idx="5">
                  <c:v>8</c:v>
                </c:pt>
                <c:pt idx="6">
                  <c:v>11</c:v>
                </c:pt>
                <c:pt idx="7">
                  <c:v>7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1538176"/>
        <c:axId val="901539264"/>
      </c:barChart>
      <c:catAx>
        <c:axId val="90153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Susceptibility 1</a:t>
                </a:r>
                <a:r>
                  <a:rPr lang="en-AU" sz="1000" b="1" i="0" baseline="0"/>
                  <a:t>0</a:t>
                </a:r>
                <a:r>
                  <a:rPr lang="en-AU" sz="1000" b="1" i="0" baseline="30000"/>
                  <a:t>-3</a:t>
                </a:r>
                <a:r>
                  <a:rPr lang="en-US" sz="1000" b="1" i="0" baseline="0"/>
                  <a:t> SI units</a:t>
                </a:r>
                <a:endParaRPr lang="en-AU" sz="1000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901539264"/>
        <c:crosses val="autoZero"/>
        <c:auto val="1"/>
        <c:lblAlgn val="ctr"/>
        <c:lblOffset val="100"/>
        <c:noMultiLvlLbl val="0"/>
      </c:catAx>
      <c:valAx>
        <c:axId val="9015392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1538176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chemeClr val="accent1">
            <a:lumMod val="60000"/>
            <a:lumOff val="40000"/>
          </a:scheme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1"/>
    </a:gradFill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Togari Mafics, Site 5/6</c:v>
          </c:tx>
          <c:invertIfNegative val="0"/>
          <c:cat>
            <c:strRef>
              <c:f>Togari_Mafics!$Q$8:$Q$31</c:f>
              <c:strCache>
                <c:ptCount val="24"/>
                <c:pt idx="0">
                  <c:v>&lt;0.1</c:v>
                </c:pt>
                <c:pt idx="1">
                  <c:v>0.1-0.2</c:v>
                </c:pt>
                <c:pt idx="2">
                  <c:v>0.2-0.3</c:v>
                </c:pt>
                <c:pt idx="3">
                  <c:v>0.3-0.4</c:v>
                </c:pt>
                <c:pt idx="4">
                  <c:v>0.4-0.5</c:v>
                </c:pt>
                <c:pt idx="5">
                  <c:v>0.5-0.6</c:v>
                </c:pt>
                <c:pt idx="6">
                  <c:v>0.6-0.7</c:v>
                </c:pt>
                <c:pt idx="7">
                  <c:v>0.7-0.8</c:v>
                </c:pt>
                <c:pt idx="8">
                  <c:v>0.8-0.9</c:v>
                </c:pt>
                <c:pt idx="9">
                  <c:v>0.9-1.0</c:v>
                </c:pt>
                <c:pt idx="10">
                  <c:v>1.0-1.1</c:v>
                </c:pt>
                <c:pt idx="11">
                  <c:v>1.1-1.2</c:v>
                </c:pt>
                <c:pt idx="12">
                  <c:v>1.2-1.3</c:v>
                </c:pt>
                <c:pt idx="13">
                  <c:v>1.3-1.4</c:v>
                </c:pt>
                <c:pt idx="14">
                  <c:v>1.4-1.5</c:v>
                </c:pt>
                <c:pt idx="15">
                  <c:v>1.5-2.0</c:v>
                </c:pt>
                <c:pt idx="16">
                  <c:v>2.0-3.0</c:v>
                </c:pt>
                <c:pt idx="17">
                  <c:v>3.0-4.0</c:v>
                </c:pt>
                <c:pt idx="18">
                  <c:v>4.0-5.0</c:v>
                </c:pt>
                <c:pt idx="19">
                  <c:v>5.0-6.0</c:v>
                </c:pt>
                <c:pt idx="20">
                  <c:v>6.0-7.0</c:v>
                </c:pt>
                <c:pt idx="21">
                  <c:v>7.0-8.0</c:v>
                </c:pt>
                <c:pt idx="22">
                  <c:v>8.0-9.0</c:v>
                </c:pt>
                <c:pt idx="23">
                  <c:v>9.0-10.0</c:v>
                </c:pt>
              </c:strCache>
            </c:strRef>
          </c:cat>
          <c:val>
            <c:numRef>
              <c:f>Togari_Mafics!$R$8:$R$31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8</c:v>
                </c:pt>
                <c:pt idx="6">
                  <c:v>11</c:v>
                </c:pt>
                <c:pt idx="7">
                  <c:v>10</c:v>
                </c:pt>
                <c:pt idx="8">
                  <c:v>10</c:v>
                </c:pt>
                <c:pt idx="9">
                  <c:v>5</c:v>
                </c:pt>
                <c:pt idx="10">
                  <c:v>4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7173392"/>
        <c:axId val="880878336"/>
      </c:barChart>
      <c:catAx>
        <c:axId val="87717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/>
                  <a:t>Susceptibility x 1</a:t>
                </a:r>
                <a:r>
                  <a:rPr lang="en-AU" sz="1000" b="1" i="0" baseline="0"/>
                  <a:t>0</a:t>
                </a:r>
                <a:r>
                  <a:rPr lang="en-AU" sz="1000" b="1" i="0" baseline="30000"/>
                  <a:t>-3</a:t>
                </a:r>
                <a:r>
                  <a:rPr lang="en-US" sz="1000" b="1" i="0" baseline="0"/>
                  <a:t> SI units  </a:t>
                </a:r>
                <a:endParaRPr lang="en-AU" sz="1000" b="1" i="0" baseline="0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880878336"/>
        <c:crosses val="autoZero"/>
        <c:auto val="1"/>
        <c:lblAlgn val="ctr"/>
        <c:lblOffset val="100"/>
        <c:noMultiLvlLbl val="0"/>
      </c:catAx>
      <c:valAx>
        <c:axId val="8808783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877173392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0"/>
    </a:gradFill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Jurassic Dolerite, 14/1 &amp; 17/1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820847695242988"/>
          <c:y val="0.18374479936732901"/>
          <c:w val="0.56188660152420711"/>
          <c:h val="0.51489770656397416"/>
        </c:manualLayout>
      </c:layout>
      <c:barChart>
        <c:barDir val="col"/>
        <c:grouping val="clustered"/>
        <c:varyColors val="0"/>
        <c:ser>
          <c:idx val="0"/>
          <c:order val="0"/>
          <c:tx>
            <c:v>Jurassic Dolerite, 15/1 &amp; 17/1</c:v>
          </c:tx>
          <c:invertIfNegative val="0"/>
          <c:cat>
            <c:strRef>
              <c:f>Dolerite!$AJ$7:$AJ$33</c:f>
              <c:strCache>
                <c:ptCount val="27"/>
                <c:pt idx="0">
                  <c:v>&lt;0.5</c:v>
                </c:pt>
                <c:pt idx="1">
                  <c:v>0.5-1.0</c:v>
                </c:pt>
                <c:pt idx="2">
                  <c:v>1.0-1.5</c:v>
                </c:pt>
                <c:pt idx="3">
                  <c:v>1.5-2.0</c:v>
                </c:pt>
                <c:pt idx="4">
                  <c:v>2.0-2.5</c:v>
                </c:pt>
                <c:pt idx="5">
                  <c:v>2.5-3.0</c:v>
                </c:pt>
                <c:pt idx="6">
                  <c:v>3.0-3.5</c:v>
                </c:pt>
                <c:pt idx="7">
                  <c:v>3.5-4.0</c:v>
                </c:pt>
                <c:pt idx="8">
                  <c:v>4.0-4.5</c:v>
                </c:pt>
                <c:pt idx="9">
                  <c:v>4.5-5.0</c:v>
                </c:pt>
                <c:pt idx="10">
                  <c:v>5.0-5.5</c:v>
                </c:pt>
                <c:pt idx="11">
                  <c:v>5.5-6.0</c:v>
                </c:pt>
                <c:pt idx="12">
                  <c:v>6.0-6.5</c:v>
                </c:pt>
                <c:pt idx="13">
                  <c:v>6.5-7.0</c:v>
                </c:pt>
                <c:pt idx="14">
                  <c:v>7.0-7.5</c:v>
                </c:pt>
                <c:pt idx="15">
                  <c:v>7.5-8.0</c:v>
                </c:pt>
                <c:pt idx="16">
                  <c:v>8.0-8.5</c:v>
                </c:pt>
                <c:pt idx="17">
                  <c:v>8.5-9.0</c:v>
                </c:pt>
                <c:pt idx="18">
                  <c:v>9.0-9.5</c:v>
                </c:pt>
                <c:pt idx="19">
                  <c:v>9.5-10.0</c:v>
                </c:pt>
                <c:pt idx="20">
                  <c:v>10.0-10.5</c:v>
                </c:pt>
                <c:pt idx="21">
                  <c:v>10.5-11.0</c:v>
                </c:pt>
                <c:pt idx="22">
                  <c:v>11.0-11.5</c:v>
                </c:pt>
                <c:pt idx="23">
                  <c:v>11.5-12.0</c:v>
                </c:pt>
                <c:pt idx="24">
                  <c:v>12.0-12.5</c:v>
                </c:pt>
                <c:pt idx="25">
                  <c:v>12.5-13.0</c:v>
                </c:pt>
                <c:pt idx="26">
                  <c:v>&gt;13</c:v>
                </c:pt>
              </c:strCache>
            </c:strRef>
          </c:cat>
          <c:val>
            <c:numRef>
              <c:f>Dolerite!$AK$7:$AK$33</c:f>
              <c:numCache>
                <c:formatCode>General</c:formatCode>
                <c:ptCount val="2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5</c:v>
                </c:pt>
                <c:pt idx="7">
                  <c:v>1</c:v>
                </c:pt>
                <c:pt idx="8">
                  <c:v>2</c:v>
                </c:pt>
                <c:pt idx="9">
                  <c:v>7</c:v>
                </c:pt>
                <c:pt idx="10">
                  <c:v>10</c:v>
                </c:pt>
                <c:pt idx="11">
                  <c:v>10</c:v>
                </c:pt>
                <c:pt idx="12">
                  <c:v>19</c:v>
                </c:pt>
                <c:pt idx="13">
                  <c:v>12</c:v>
                </c:pt>
                <c:pt idx="14">
                  <c:v>10</c:v>
                </c:pt>
                <c:pt idx="15">
                  <c:v>5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1545248"/>
        <c:axId val="901535456"/>
      </c:barChart>
      <c:catAx>
        <c:axId val="90154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Susceptibility</a:t>
                </a:r>
                <a:r>
                  <a:rPr lang="en-AU" baseline="0"/>
                  <a:t> 10</a:t>
                </a:r>
                <a:r>
                  <a:rPr lang="en-AU" baseline="30000"/>
                  <a:t>-3</a:t>
                </a:r>
                <a:r>
                  <a:rPr lang="en-AU" baseline="0"/>
                  <a:t> SI units</a:t>
                </a:r>
                <a:endParaRPr lang="en-AU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901535456"/>
        <c:crosses val="autoZero"/>
        <c:auto val="1"/>
        <c:lblAlgn val="ctr"/>
        <c:lblOffset val="100"/>
        <c:noMultiLvlLbl val="0"/>
      </c:catAx>
      <c:valAx>
        <c:axId val="901535456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901545248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>
        <c:manualLayout>
          <c:xMode val="edge"/>
          <c:yMode val="edge"/>
          <c:x val="0.73490096870421318"/>
          <c:y val="0.32557225471297524"/>
          <c:w val="0.24100264575361816"/>
          <c:h val="0.28456692913386011"/>
        </c:manualLayout>
      </c:layout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0"/>
    </a:gradFill>
  </c:sp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Cainozoic Basalt Susceptibility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Cainozoic Basalt</c:v>
          </c:tx>
          <c:invertIfNegative val="0"/>
          <c:cat>
            <c:strRef>
              <c:f>Cz_Basalt!$K$7:$K$19</c:f>
              <c:strCache>
                <c:ptCount val="13"/>
                <c:pt idx="0">
                  <c:v>&lt;0.5</c:v>
                </c:pt>
                <c:pt idx="1">
                  <c:v>0.5-1.0</c:v>
                </c:pt>
                <c:pt idx="2">
                  <c:v>1.0-1.5</c:v>
                </c:pt>
                <c:pt idx="3">
                  <c:v>1.5-2.0</c:v>
                </c:pt>
                <c:pt idx="4">
                  <c:v>2.0-2.5</c:v>
                </c:pt>
                <c:pt idx="5">
                  <c:v>2.5-3.0</c:v>
                </c:pt>
                <c:pt idx="6">
                  <c:v>3-3.5</c:v>
                </c:pt>
                <c:pt idx="7">
                  <c:v>3.5-4</c:v>
                </c:pt>
                <c:pt idx="8">
                  <c:v>4-4.5</c:v>
                </c:pt>
                <c:pt idx="9">
                  <c:v>4.5-5</c:v>
                </c:pt>
                <c:pt idx="10">
                  <c:v>5-5.5</c:v>
                </c:pt>
                <c:pt idx="11">
                  <c:v>5.5-6</c:v>
                </c:pt>
                <c:pt idx="12">
                  <c:v>&gt;6</c:v>
                </c:pt>
              </c:strCache>
            </c:strRef>
          </c:cat>
          <c:val>
            <c:numRef>
              <c:f>Cz_Basalt!$L$7:$L$19</c:f>
              <c:numCache>
                <c:formatCode>General</c:formatCode>
                <c:ptCount val="13"/>
                <c:pt idx="0">
                  <c:v>0</c:v>
                </c:pt>
                <c:pt idx="1">
                  <c:v>8</c:v>
                </c:pt>
                <c:pt idx="2">
                  <c:v>18</c:v>
                </c:pt>
                <c:pt idx="3">
                  <c:v>24</c:v>
                </c:pt>
                <c:pt idx="4">
                  <c:v>36</c:v>
                </c:pt>
                <c:pt idx="5">
                  <c:v>46</c:v>
                </c:pt>
                <c:pt idx="6">
                  <c:v>28</c:v>
                </c:pt>
                <c:pt idx="7">
                  <c:v>14</c:v>
                </c:pt>
                <c:pt idx="8">
                  <c:v>8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1534912"/>
        <c:axId val="901537088"/>
      </c:barChart>
      <c:catAx>
        <c:axId val="90153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/>
                  <a:t>Susceptibility x 1</a:t>
                </a:r>
                <a:r>
                  <a:rPr lang="en-AU" sz="1000" b="1" i="0" u="none" strike="noStrike" baseline="0"/>
                  <a:t>0</a:t>
                </a:r>
                <a:r>
                  <a:rPr lang="en-AU" sz="1000" b="1" i="0" u="none" strike="noStrike" baseline="30000"/>
                  <a:t>-3</a:t>
                </a:r>
                <a:r>
                  <a:rPr lang="en-US" sz="1000" b="1" i="0" u="none" strike="noStrike" baseline="0"/>
                  <a:t> SI units  </a:t>
                </a:r>
                <a:endParaRPr lang="en-US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901537088"/>
        <c:crosses val="autoZero"/>
        <c:auto val="1"/>
        <c:lblAlgn val="ctr"/>
        <c:lblOffset val="100"/>
        <c:noMultiLvlLbl val="0"/>
      </c:catAx>
      <c:valAx>
        <c:axId val="9015370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1534912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Togari Group  </a:t>
            </a:r>
          </a:p>
          <a:p>
            <a:pPr>
              <a:defRPr/>
            </a:pPr>
            <a:r>
              <a:rPr lang="en-US"/>
              <a:t>Sites 5/5 &amp; 5/6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v>Togari Mafics, Site 5/6</c:v>
          </c:tx>
          <c:invertIfNegative val="0"/>
          <c:cat>
            <c:strRef>
              <c:f>Togari_Mafics!$Q$8:$Q$31</c:f>
              <c:strCache>
                <c:ptCount val="24"/>
                <c:pt idx="0">
                  <c:v>&lt;0.1</c:v>
                </c:pt>
                <c:pt idx="1">
                  <c:v>0.1-0.2</c:v>
                </c:pt>
                <c:pt idx="2">
                  <c:v>0.2-0.3</c:v>
                </c:pt>
                <c:pt idx="3">
                  <c:v>0.3-0.4</c:v>
                </c:pt>
                <c:pt idx="4">
                  <c:v>0.4-0.5</c:v>
                </c:pt>
                <c:pt idx="5">
                  <c:v>0.5-0.6</c:v>
                </c:pt>
                <c:pt idx="6">
                  <c:v>0.6-0.7</c:v>
                </c:pt>
                <c:pt idx="7">
                  <c:v>0.7-0.8</c:v>
                </c:pt>
                <c:pt idx="8">
                  <c:v>0.8-0.9</c:v>
                </c:pt>
                <c:pt idx="9">
                  <c:v>0.9-1.0</c:v>
                </c:pt>
                <c:pt idx="10">
                  <c:v>1.0-1.1</c:v>
                </c:pt>
                <c:pt idx="11">
                  <c:v>1.1-1.2</c:v>
                </c:pt>
                <c:pt idx="12">
                  <c:v>1.2-1.3</c:v>
                </c:pt>
                <c:pt idx="13">
                  <c:v>1.3-1.4</c:v>
                </c:pt>
                <c:pt idx="14">
                  <c:v>1.4-1.5</c:v>
                </c:pt>
                <c:pt idx="15">
                  <c:v>1.5-2.0</c:v>
                </c:pt>
                <c:pt idx="16">
                  <c:v>2.0-3.0</c:v>
                </c:pt>
                <c:pt idx="17">
                  <c:v>3.0-4.0</c:v>
                </c:pt>
                <c:pt idx="18">
                  <c:v>4.0-5.0</c:v>
                </c:pt>
                <c:pt idx="19">
                  <c:v>5.0-6.0</c:v>
                </c:pt>
                <c:pt idx="20">
                  <c:v>6.0-7.0</c:v>
                </c:pt>
                <c:pt idx="21">
                  <c:v>7.0-8.0</c:v>
                </c:pt>
                <c:pt idx="22">
                  <c:v>8.0-9.0</c:v>
                </c:pt>
                <c:pt idx="23">
                  <c:v>9.0-10.0</c:v>
                </c:pt>
              </c:strCache>
            </c:strRef>
          </c:cat>
          <c:val>
            <c:numRef>
              <c:f>Togari_Mafics!$R$8:$R$31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8</c:v>
                </c:pt>
                <c:pt idx="6">
                  <c:v>11</c:v>
                </c:pt>
                <c:pt idx="7">
                  <c:v>10</c:v>
                </c:pt>
                <c:pt idx="8">
                  <c:v>10</c:v>
                </c:pt>
                <c:pt idx="9">
                  <c:v>5</c:v>
                </c:pt>
                <c:pt idx="10">
                  <c:v>4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ser>
          <c:idx val="1"/>
          <c:order val="0"/>
          <c:tx>
            <c:v>Togari Group Metasediments</c:v>
          </c:tx>
          <c:invertIfNegative val="0"/>
          <c:cat>
            <c:strRef>
              <c:f>Togari_Slt!$E$7:$E$18</c:f>
              <c:strCache>
                <c:ptCount val="12"/>
                <c:pt idx="0">
                  <c:v>&lt;0.10</c:v>
                </c:pt>
                <c:pt idx="1">
                  <c:v>0.1-0.2</c:v>
                </c:pt>
                <c:pt idx="2">
                  <c:v>0.2-0.3</c:v>
                </c:pt>
                <c:pt idx="3">
                  <c:v>0.3-0.4</c:v>
                </c:pt>
                <c:pt idx="4">
                  <c:v>0.4-0.5</c:v>
                </c:pt>
                <c:pt idx="5">
                  <c:v>0.5-0.6</c:v>
                </c:pt>
                <c:pt idx="6">
                  <c:v>0.6-0.7</c:v>
                </c:pt>
                <c:pt idx="7">
                  <c:v>0.7-0.8</c:v>
                </c:pt>
                <c:pt idx="8">
                  <c:v>0.8-0.9</c:v>
                </c:pt>
                <c:pt idx="9">
                  <c:v>0.9-1.0</c:v>
                </c:pt>
                <c:pt idx="10">
                  <c:v>1.0-1.1</c:v>
                </c:pt>
                <c:pt idx="11">
                  <c:v>&gt;1.1</c:v>
                </c:pt>
              </c:strCache>
            </c:strRef>
          </c:cat>
          <c:val>
            <c:numRef>
              <c:f>Togari_Slt!$F$7:$F$18</c:f>
              <c:numCache>
                <c:formatCode>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0883232"/>
        <c:axId val="880886496"/>
      </c:barChart>
      <c:catAx>
        <c:axId val="88088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Susceptibility 10</a:t>
                </a:r>
                <a:r>
                  <a:rPr lang="en-US" baseline="30000"/>
                  <a:t>-3</a:t>
                </a:r>
                <a:r>
                  <a:rPr lang="en-US"/>
                  <a:t> SI Units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80886496"/>
        <c:crosses val="autoZero"/>
        <c:auto val="1"/>
        <c:lblAlgn val="ctr"/>
        <c:lblOffset val="100"/>
        <c:noMultiLvlLbl val="0"/>
      </c:catAx>
      <c:valAx>
        <c:axId val="8808864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880883232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0.73687642169728795"/>
          <c:y val="0.34865339749198015"/>
          <c:w val="0.24090135608049076"/>
          <c:h val="0.27931321084864491"/>
        </c:manualLayout>
      </c:layout>
      <c:overlay val="0"/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Keith Metamorphics</c:v>
          </c:tx>
          <c:invertIfNegative val="0"/>
          <c:cat>
            <c:strRef>
              <c:f>Keith_Mm!$E$7:$E$18</c:f>
              <c:strCache>
                <c:ptCount val="12"/>
                <c:pt idx="0">
                  <c:v>&lt;0.05</c:v>
                </c:pt>
                <c:pt idx="1">
                  <c:v>0.05-0.10</c:v>
                </c:pt>
                <c:pt idx="2">
                  <c:v>0.10-0.15</c:v>
                </c:pt>
                <c:pt idx="3">
                  <c:v>0.15-0.20</c:v>
                </c:pt>
                <c:pt idx="4">
                  <c:v>0.20-0.25</c:v>
                </c:pt>
                <c:pt idx="5">
                  <c:v>0.25-0.30</c:v>
                </c:pt>
                <c:pt idx="6">
                  <c:v>0.30-0.35</c:v>
                </c:pt>
                <c:pt idx="7">
                  <c:v>0.35-0.40</c:v>
                </c:pt>
                <c:pt idx="8">
                  <c:v>0.40-0.45</c:v>
                </c:pt>
                <c:pt idx="9">
                  <c:v>0.45-0.50</c:v>
                </c:pt>
                <c:pt idx="10">
                  <c:v>0.50-1.0</c:v>
                </c:pt>
                <c:pt idx="11">
                  <c:v>&gt;1.0</c:v>
                </c:pt>
              </c:strCache>
            </c:strRef>
          </c:cat>
          <c:val>
            <c:numRef>
              <c:f>Keith_Mm!$F$7:$F$18</c:f>
              <c:numCache>
                <c:formatCode>0</c:formatCode>
                <c:ptCount val="12"/>
                <c:pt idx="0">
                  <c:v>9</c:v>
                </c:pt>
                <c:pt idx="1">
                  <c:v>6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0872896"/>
        <c:axId val="880875616"/>
      </c:barChart>
      <c:catAx>
        <c:axId val="88087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Susceptibility 10</a:t>
                </a:r>
                <a:r>
                  <a:rPr lang="en-US" baseline="30000"/>
                  <a:t>-3</a:t>
                </a:r>
                <a:r>
                  <a:rPr lang="en-US"/>
                  <a:t> SI Units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80875616"/>
        <c:crosses val="autoZero"/>
        <c:auto val="1"/>
        <c:lblAlgn val="ctr"/>
        <c:lblOffset val="100"/>
        <c:noMultiLvlLbl val="0"/>
      </c:catAx>
      <c:valAx>
        <c:axId val="880875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880872896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0"/>
    </a:gradFill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339129483814544"/>
          <c:y val="0.19480351414406533"/>
          <c:w val="0.57395734908136276"/>
          <c:h val="0.53695173519976669"/>
        </c:manualLayout>
      </c:layout>
      <c:barChart>
        <c:barDir val="col"/>
        <c:grouping val="clustered"/>
        <c:varyColors val="0"/>
        <c:ser>
          <c:idx val="0"/>
          <c:order val="0"/>
          <c:tx>
            <c:v>Mafic Dykes, Stop 6/3</c:v>
          </c:tx>
          <c:invertIfNegative val="0"/>
          <c:cat>
            <c:strRef>
              <c:f>Mafic_Dyke!$O$7:$O$18</c:f>
              <c:strCache>
                <c:ptCount val="12"/>
                <c:pt idx="0">
                  <c:v>&lt;0.4</c:v>
                </c:pt>
                <c:pt idx="1">
                  <c:v>0.4-0.45</c:v>
                </c:pt>
                <c:pt idx="2">
                  <c:v>0.45-0.5</c:v>
                </c:pt>
                <c:pt idx="3">
                  <c:v>0.5-0.55</c:v>
                </c:pt>
                <c:pt idx="4">
                  <c:v>0.55-0.6</c:v>
                </c:pt>
                <c:pt idx="5">
                  <c:v>0.6-0.65</c:v>
                </c:pt>
                <c:pt idx="6">
                  <c:v>0.65-0.7</c:v>
                </c:pt>
                <c:pt idx="7">
                  <c:v>0.7-0.75</c:v>
                </c:pt>
                <c:pt idx="8">
                  <c:v>0.75-0.8</c:v>
                </c:pt>
                <c:pt idx="9">
                  <c:v>0.8-0.85</c:v>
                </c:pt>
                <c:pt idx="10">
                  <c:v>0.85-0.9</c:v>
                </c:pt>
                <c:pt idx="11">
                  <c:v>&gt;0.9</c:v>
                </c:pt>
              </c:strCache>
            </c:strRef>
          </c:cat>
          <c:val>
            <c:numRef>
              <c:f>Mafic_Dyke!$P$7:$P$18</c:f>
              <c:numCache>
                <c:formatCode>0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12</c:v>
                </c:pt>
                <c:pt idx="7">
                  <c:v>6</c:v>
                </c:pt>
                <c:pt idx="8">
                  <c:v>4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0878880"/>
        <c:axId val="880879424"/>
      </c:barChart>
      <c:catAx>
        <c:axId val="88087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/>
                  <a:t>Susceptibility x 1</a:t>
                </a:r>
                <a:r>
                  <a:rPr lang="en-AU" sz="1000" b="1" i="0" baseline="0"/>
                  <a:t>0</a:t>
                </a:r>
                <a:r>
                  <a:rPr lang="en-AU" sz="1000" b="1" i="0" baseline="30000"/>
                  <a:t>-3</a:t>
                </a:r>
                <a:r>
                  <a:rPr lang="en-US" sz="1000" b="1" i="0" baseline="0"/>
                  <a:t> SI units  </a:t>
                </a:r>
                <a:endParaRPr lang="en-AU" sz="1000" b="1" i="0" baseline="0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880879424"/>
        <c:crosses val="autoZero"/>
        <c:auto val="1"/>
        <c:lblAlgn val="ctr"/>
        <c:lblOffset val="100"/>
        <c:noMultiLvlLbl val="0"/>
      </c:catAx>
      <c:valAx>
        <c:axId val="880879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880878880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>
        <c:manualLayout>
          <c:xMode val="edge"/>
          <c:yMode val="edge"/>
          <c:x val="0.75623753280840111"/>
          <c:y val="0.33539843977836248"/>
          <c:w val="0.20209580052493495"/>
          <c:h val="0.22260608048993891"/>
        </c:manualLayout>
      </c:layout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0"/>
    </a:gradFill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448862642169729"/>
          <c:y val="0.19480351414406533"/>
          <c:w val="0.55559470691163559"/>
          <c:h val="0.63128062117235351"/>
        </c:manualLayout>
      </c:layout>
      <c:lineChart>
        <c:grouping val="standard"/>
        <c:varyColors val="0"/>
        <c:ser>
          <c:idx val="0"/>
          <c:order val="0"/>
          <c:tx>
            <c:v>Mafic Dykes, Stop 6/3</c:v>
          </c:tx>
          <c:marker>
            <c:symbol val="none"/>
          </c:marker>
          <c:cat>
            <c:numRef>
              <c:f>Mafic_Dyke!$N$7:$N$46</c:f>
              <c:numCache>
                <c:formatCode>0%</c:formatCode>
                <c:ptCount val="40"/>
                <c:pt idx="0">
                  <c:v>2.5000000000000001E-2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0.125</c:v>
                </c:pt>
                <c:pt idx="5">
                  <c:v>0.15</c:v>
                </c:pt>
                <c:pt idx="6">
                  <c:v>0.17499999999999999</c:v>
                </c:pt>
                <c:pt idx="7">
                  <c:v>0.2</c:v>
                </c:pt>
                <c:pt idx="8">
                  <c:v>0.22500000000000001</c:v>
                </c:pt>
                <c:pt idx="9">
                  <c:v>0.25</c:v>
                </c:pt>
                <c:pt idx="10">
                  <c:v>0.27500000000000002</c:v>
                </c:pt>
                <c:pt idx="11">
                  <c:v>0.3</c:v>
                </c:pt>
                <c:pt idx="12">
                  <c:v>0.32500000000000001</c:v>
                </c:pt>
                <c:pt idx="13">
                  <c:v>0.35</c:v>
                </c:pt>
                <c:pt idx="14">
                  <c:v>0.375</c:v>
                </c:pt>
                <c:pt idx="15">
                  <c:v>0.4</c:v>
                </c:pt>
                <c:pt idx="16">
                  <c:v>0.42499999999999999</c:v>
                </c:pt>
                <c:pt idx="17">
                  <c:v>0.45</c:v>
                </c:pt>
                <c:pt idx="18">
                  <c:v>0.47499999999999998</c:v>
                </c:pt>
                <c:pt idx="19">
                  <c:v>0.5</c:v>
                </c:pt>
                <c:pt idx="20">
                  <c:v>0.52500000000000002</c:v>
                </c:pt>
                <c:pt idx="21">
                  <c:v>0.55000000000000004</c:v>
                </c:pt>
                <c:pt idx="22">
                  <c:v>0.57499999999999996</c:v>
                </c:pt>
                <c:pt idx="23">
                  <c:v>0.6</c:v>
                </c:pt>
                <c:pt idx="24">
                  <c:v>0.625</c:v>
                </c:pt>
                <c:pt idx="25">
                  <c:v>0.65</c:v>
                </c:pt>
                <c:pt idx="26">
                  <c:v>0.67500000000000004</c:v>
                </c:pt>
                <c:pt idx="27">
                  <c:v>0.7</c:v>
                </c:pt>
                <c:pt idx="28">
                  <c:v>0.72499999999999998</c:v>
                </c:pt>
                <c:pt idx="29">
                  <c:v>0.75</c:v>
                </c:pt>
                <c:pt idx="30">
                  <c:v>0.77500000000000002</c:v>
                </c:pt>
                <c:pt idx="31">
                  <c:v>0.8</c:v>
                </c:pt>
                <c:pt idx="32">
                  <c:v>0.82499999999999996</c:v>
                </c:pt>
                <c:pt idx="33">
                  <c:v>0.85</c:v>
                </c:pt>
                <c:pt idx="34">
                  <c:v>0.875</c:v>
                </c:pt>
                <c:pt idx="35">
                  <c:v>0.9</c:v>
                </c:pt>
                <c:pt idx="36">
                  <c:v>0.92500000000000004</c:v>
                </c:pt>
                <c:pt idx="37">
                  <c:v>0.95</c:v>
                </c:pt>
                <c:pt idx="38">
                  <c:v>0.97499999999999998</c:v>
                </c:pt>
                <c:pt idx="39">
                  <c:v>1</c:v>
                </c:pt>
              </c:numCache>
            </c:numRef>
          </c:cat>
          <c:val>
            <c:numRef>
              <c:f>Mafic_Dyke!$L$7:$L$46</c:f>
              <c:numCache>
                <c:formatCode>General</c:formatCode>
                <c:ptCount val="40"/>
                <c:pt idx="0">
                  <c:v>0.14612803567823801</c:v>
                </c:pt>
                <c:pt idx="1">
                  <c:v>0.14612803567823801</c:v>
                </c:pt>
                <c:pt idx="2">
                  <c:v>0.17897694729316943</c:v>
                </c:pt>
                <c:pt idx="3">
                  <c:v>0.17897694729316943</c:v>
                </c:pt>
                <c:pt idx="4">
                  <c:v>0.17897694729316943</c:v>
                </c:pt>
                <c:pt idx="5">
                  <c:v>0.18184358794477254</c:v>
                </c:pt>
                <c:pt idx="6">
                  <c:v>0.1903316981702915</c:v>
                </c:pt>
                <c:pt idx="7">
                  <c:v>0.19312459835446161</c:v>
                </c:pt>
                <c:pt idx="8">
                  <c:v>0.19312459835446161</c:v>
                </c:pt>
                <c:pt idx="9">
                  <c:v>0.19865708695442263</c:v>
                </c:pt>
                <c:pt idx="10">
                  <c:v>0.19865708695442263</c:v>
                </c:pt>
                <c:pt idx="11">
                  <c:v>0.20139712432045145</c:v>
                </c:pt>
                <c:pt idx="12">
                  <c:v>0.20411998265592479</c:v>
                </c:pt>
                <c:pt idx="13">
                  <c:v>0.20682587603184968</c:v>
                </c:pt>
                <c:pt idx="14">
                  <c:v>0.20951501454263097</c:v>
                </c:pt>
                <c:pt idx="15">
                  <c:v>0.21218760440395779</c:v>
                </c:pt>
                <c:pt idx="16">
                  <c:v>0.21484384804769791</c:v>
                </c:pt>
                <c:pt idx="17">
                  <c:v>0.21748394421390627</c:v>
                </c:pt>
                <c:pt idx="18">
                  <c:v>0.21748394421390627</c:v>
                </c:pt>
                <c:pt idx="19">
                  <c:v>0.22010808804005513</c:v>
                </c:pt>
                <c:pt idx="20">
                  <c:v>0.22010808804005513</c:v>
                </c:pt>
                <c:pt idx="21">
                  <c:v>0.22010808804005513</c:v>
                </c:pt>
                <c:pt idx="22">
                  <c:v>0.22010808804005513</c:v>
                </c:pt>
                <c:pt idx="23">
                  <c:v>0.22010808804005513</c:v>
                </c:pt>
                <c:pt idx="24">
                  <c:v>0.22271647114758325</c:v>
                </c:pt>
                <c:pt idx="25">
                  <c:v>0.22271647114758325</c:v>
                </c:pt>
                <c:pt idx="26">
                  <c:v>0.22271647114758325</c:v>
                </c:pt>
                <c:pt idx="27">
                  <c:v>0.2253092817258629</c:v>
                </c:pt>
                <c:pt idx="28">
                  <c:v>0.22788670461367352</c:v>
                </c:pt>
                <c:pt idx="29">
                  <c:v>0.23044892137827391</c:v>
                </c:pt>
                <c:pt idx="30">
                  <c:v>0.23299611039215382</c:v>
                </c:pt>
                <c:pt idx="31">
                  <c:v>0.23299611039215382</c:v>
                </c:pt>
                <c:pt idx="32">
                  <c:v>0.23299611039215382</c:v>
                </c:pt>
                <c:pt idx="33">
                  <c:v>0.2355284469075489</c:v>
                </c:pt>
                <c:pt idx="34">
                  <c:v>0.2380461031287954</c:v>
                </c:pt>
                <c:pt idx="35">
                  <c:v>0.24303804868629444</c:v>
                </c:pt>
                <c:pt idx="36">
                  <c:v>0.24797326636180664</c:v>
                </c:pt>
                <c:pt idx="37">
                  <c:v>0.250420002308894</c:v>
                </c:pt>
                <c:pt idx="38">
                  <c:v>0.2528530309798932</c:v>
                </c:pt>
                <c:pt idx="39">
                  <c:v>0.26951294421791627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0885408"/>
        <c:axId val="880888128"/>
      </c:lineChart>
      <c:catAx>
        <c:axId val="88088540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crossAx val="880888128"/>
        <c:crosses val="autoZero"/>
        <c:auto val="1"/>
        <c:lblAlgn val="ctr"/>
        <c:lblOffset val="100"/>
        <c:noMultiLvlLbl val="0"/>
      </c:catAx>
      <c:valAx>
        <c:axId val="880888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 (</a:t>
                </a:r>
                <a:r>
                  <a:rPr lang="en-US" i="1"/>
                  <a:t>k</a:t>
                </a:r>
                <a:r>
                  <a:rPr lang="en-US"/>
                  <a:t>+1)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80885408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>
        <c:manualLayout>
          <c:xMode val="edge"/>
          <c:yMode val="edge"/>
          <c:x val="0.74786111111111164"/>
          <c:y val="0.45113918051910179"/>
          <c:w val="0.21602777777777779"/>
          <c:h val="0.2179764508603102"/>
        </c:manualLayout>
      </c:layout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0"/>
    </a:gradFill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 Frequency </a:t>
            </a:r>
          </a:p>
          <a:p>
            <a:pPr>
              <a:defRPr/>
            </a:pPr>
            <a:r>
              <a:rPr lang="en-US"/>
              <a:t>Wynyard Tillite, 22/3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448862642169729"/>
          <c:y val="0.24635584494245921"/>
          <c:w val="0.57941404199474877"/>
          <c:h val="0.60916020593579645"/>
        </c:manualLayout>
      </c:layout>
      <c:lineChart>
        <c:grouping val="standard"/>
        <c:varyColors val="0"/>
        <c:ser>
          <c:idx val="0"/>
          <c:order val="0"/>
          <c:tx>
            <c:v>Wynyard Tillite, 22/3</c:v>
          </c:tx>
          <c:marker>
            <c:symbol val="none"/>
          </c:marker>
          <c:cat>
            <c:numRef>
              <c:f>Wynyd_Till!$J$7:$J$56</c:f>
              <c:numCache>
                <c:formatCode>0%</c:formatCode>
                <c:ptCount val="5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  <c:pt idx="10">
                  <c:v>0.22</c:v>
                </c:pt>
                <c:pt idx="11">
                  <c:v>0.24</c:v>
                </c:pt>
                <c:pt idx="12">
                  <c:v>0.26</c:v>
                </c:pt>
                <c:pt idx="13">
                  <c:v>0.28000000000000003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</c:v>
                </c:pt>
                <c:pt idx="18">
                  <c:v>0.38</c:v>
                </c:pt>
                <c:pt idx="19">
                  <c:v>0.4</c:v>
                </c:pt>
                <c:pt idx="20">
                  <c:v>0.42</c:v>
                </c:pt>
                <c:pt idx="21">
                  <c:v>0.44</c:v>
                </c:pt>
                <c:pt idx="22">
                  <c:v>0.46</c:v>
                </c:pt>
                <c:pt idx="23">
                  <c:v>0.48</c:v>
                </c:pt>
                <c:pt idx="24">
                  <c:v>0.5</c:v>
                </c:pt>
                <c:pt idx="25">
                  <c:v>0.52</c:v>
                </c:pt>
                <c:pt idx="26">
                  <c:v>0.54</c:v>
                </c:pt>
                <c:pt idx="27">
                  <c:v>0.56000000000000005</c:v>
                </c:pt>
                <c:pt idx="28">
                  <c:v>0.57999999999999996</c:v>
                </c:pt>
                <c:pt idx="29">
                  <c:v>0.6</c:v>
                </c:pt>
                <c:pt idx="30">
                  <c:v>0.62</c:v>
                </c:pt>
                <c:pt idx="31">
                  <c:v>0.64</c:v>
                </c:pt>
                <c:pt idx="32">
                  <c:v>0.66</c:v>
                </c:pt>
                <c:pt idx="33">
                  <c:v>0.68</c:v>
                </c:pt>
                <c:pt idx="34">
                  <c:v>0.7</c:v>
                </c:pt>
                <c:pt idx="35">
                  <c:v>0.72</c:v>
                </c:pt>
                <c:pt idx="36">
                  <c:v>0.74</c:v>
                </c:pt>
                <c:pt idx="37">
                  <c:v>0.76</c:v>
                </c:pt>
                <c:pt idx="38">
                  <c:v>0.78</c:v>
                </c:pt>
                <c:pt idx="39">
                  <c:v>0.8</c:v>
                </c:pt>
                <c:pt idx="40">
                  <c:v>0.82</c:v>
                </c:pt>
                <c:pt idx="41">
                  <c:v>0.84</c:v>
                </c:pt>
                <c:pt idx="42">
                  <c:v>0.86</c:v>
                </c:pt>
                <c:pt idx="43">
                  <c:v>0.88</c:v>
                </c:pt>
                <c:pt idx="44">
                  <c:v>0.9</c:v>
                </c:pt>
                <c:pt idx="45">
                  <c:v>0.92</c:v>
                </c:pt>
                <c:pt idx="46">
                  <c:v>0.94</c:v>
                </c:pt>
                <c:pt idx="47">
                  <c:v>0.96</c:v>
                </c:pt>
                <c:pt idx="48">
                  <c:v>0.98</c:v>
                </c:pt>
                <c:pt idx="49">
                  <c:v>1</c:v>
                </c:pt>
              </c:numCache>
            </c:numRef>
          </c:cat>
          <c:val>
            <c:numRef>
              <c:f>Wynyd_Till!$H$7:$H$56</c:f>
              <c:numCache>
                <c:formatCode>General</c:formatCode>
                <c:ptCount val="50"/>
                <c:pt idx="0">
                  <c:v>4.9218022670181653E-2</c:v>
                </c:pt>
                <c:pt idx="1">
                  <c:v>8.6359830674748214E-2</c:v>
                </c:pt>
                <c:pt idx="2">
                  <c:v>9.3421685162235063E-2</c:v>
                </c:pt>
                <c:pt idx="3">
                  <c:v>0.10720996964786837</c:v>
                </c:pt>
                <c:pt idx="4">
                  <c:v>0.12057393120584989</c:v>
                </c:pt>
                <c:pt idx="5">
                  <c:v>0.12710479836480765</c:v>
                </c:pt>
                <c:pt idx="6">
                  <c:v>0.13033376849500614</c:v>
                </c:pt>
                <c:pt idx="7">
                  <c:v>0.13672056715640679</c:v>
                </c:pt>
                <c:pt idx="8">
                  <c:v>0.14612803567823801</c:v>
                </c:pt>
                <c:pt idx="9">
                  <c:v>0.15228834438305647</c:v>
                </c:pt>
                <c:pt idx="10">
                  <c:v>0.15228834438305647</c:v>
                </c:pt>
                <c:pt idx="11">
                  <c:v>0.1553360374650618</c:v>
                </c:pt>
                <c:pt idx="12">
                  <c:v>0.1553360374650618</c:v>
                </c:pt>
                <c:pt idx="13">
                  <c:v>0.15836249209524964</c:v>
                </c:pt>
                <c:pt idx="14">
                  <c:v>0.16435285578443709</c:v>
                </c:pt>
                <c:pt idx="15">
                  <c:v>0.16435285578443709</c:v>
                </c:pt>
                <c:pt idx="16">
                  <c:v>0.17026171539495738</c:v>
                </c:pt>
                <c:pt idx="17">
                  <c:v>0.17318626841227402</c:v>
                </c:pt>
                <c:pt idx="18">
                  <c:v>0.17609125905568124</c:v>
                </c:pt>
                <c:pt idx="19">
                  <c:v>0.17609125905568124</c:v>
                </c:pt>
                <c:pt idx="20">
                  <c:v>0.17897694729316943</c:v>
                </c:pt>
                <c:pt idx="21">
                  <c:v>0.17897694729316943</c:v>
                </c:pt>
                <c:pt idx="22">
                  <c:v>0.18752072083646307</c:v>
                </c:pt>
                <c:pt idx="23">
                  <c:v>0.19312459835446161</c:v>
                </c:pt>
                <c:pt idx="24">
                  <c:v>0.19865708695442263</c:v>
                </c:pt>
                <c:pt idx="25">
                  <c:v>0.19865708695442263</c:v>
                </c:pt>
                <c:pt idx="26">
                  <c:v>0.20139712432045145</c:v>
                </c:pt>
                <c:pt idx="27">
                  <c:v>0.20139712432045145</c:v>
                </c:pt>
                <c:pt idx="28">
                  <c:v>0.20411998265592479</c:v>
                </c:pt>
                <c:pt idx="29">
                  <c:v>0.20411998265592479</c:v>
                </c:pt>
                <c:pt idx="30">
                  <c:v>0.20682587603184968</c:v>
                </c:pt>
                <c:pt idx="31">
                  <c:v>0.20682587603184968</c:v>
                </c:pt>
                <c:pt idx="32">
                  <c:v>0.20951501454263097</c:v>
                </c:pt>
                <c:pt idx="33">
                  <c:v>0.20951501454263097</c:v>
                </c:pt>
                <c:pt idx="34">
                  <c:v>0.21484384804769791</c:v>
                </c:pt>
                <c:pt idx="35">
                  <c:v>0.22010808804005513</c:v>
                </c:pt>
                <c:pt idx="36">
                  <c:v>0.22010808804005513</c:v>
                </c:pt>
                <c:pt idx="37">
                  <c:v>0.22788670461367352</c:v>
                </c:pt>
                <c:pt idx="38">
                  <c:v>0.23299611039215382</c:v>
                </c:pt>
                <c:pt idx="39">
                  <c:v>0.23299611039215382</c:v>
                </c:pt>
                <c:pt idx="40">
                  <c:v>0.2355284469075489</c:v>
                </c:pt>
                <c:pt idx="41">
                  <c:v>0.24303804868629444</c:v>
                </c:pt>
                <c:pt idx="42">
                  <c:v>0.24303804868629444</c:v>
                </c:pt>
                <c:pt idx="43">
                  <c:v>0.24797326636180664</c:v>
                </c:pt>
                <c:pt idx="44">
                  <c:v>0.26007138798507473</c:v>
                </c:pt>
                <c:pt idx="45">
                  <c:v>0.26245108973042947</c:v>
                </c:pt>
                <c:pt idx="46">
                  <c:v>0.26481782300953643</c:v>
                </c:pt>
                <c:pt idx="47">
                  <c:v>0.29885307640970665</c:v>
                </c:pt>
                <c:pt idx="48">
                  <c:v>0.33645973384852951</c:v>
                </c:pt>
                <c:pt idx="49">
                  <c:v>0.37839790094813763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0873440"/>
        <c:axId val="880876160"/>
      </c:lineChart>
      <c:catAx>
        <c:axId val="880873440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crossAx val="880876160"/>
        <c:crosses val="autoZero"/>
        <c:auto val="0"/>
        <c:lblAlgn val="ctr"/>
        <c:lblOffset val="100"/>
        <c:tickLblSkip val="5"/>
        <c:noMultiLvlLbl val="0"/>
      </c:catAx>
      <c:valAx>
        <c:axId val="880876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(</a:t>
                </a:r>
                <a:r>
                  <a:rPr lang="en-US" i="1"/>
                  <a:t>k</a:t>
                </a:r>
                <a:r>
                  <a:rPr lang="en-US"/>
                  <a:t>+1)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80873440"/>
        <c:crosses val="autoZero"/>
        <c:crossBetween val="between"/>
      </c:valAx>
      <c:spPr>
        <a:solidFill>
          <a:schemeClr val="bg2"/>
        </a:solidFill>
        <a:ln>
          <a:solidFill>
            <a:schemeClr val="accent1"/>
          </a:solidFill>
        </a:ln>
      </c:spPr>
    </c:plotArea>
    <c:legend>
      <c:legendPos val="r"/>
      <c:layout>
        <c:manualLayout>
          <c:xMode val="edge"/>
          <c:yMode val="edge"/>
          <c:x val="0.74945822397200368"/>
          <c:y val="0.56705208964263876"/>
          <c:w val="0.23387510936132991"/>
          <c:h val="0.13878043609933449"/>
        </c:manualLayout>
      </c:layout>
      <c:overlay val="0"/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0"/>
      <a:tileRect/>
    </a:gradFill>
    <a:ln>
      <a:solidFill>
        <a:schemeClr val="bg1">
          <a:lumMod val="50000"/>
        </a:schemeClr>
      </a:solidFill>
    </a:ln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Wynyard Tillite Site 22/3</c:v>
          </c:tx>
          <c:invertIfNegative val="0"/>
          <c:cat>
            <c:strRef>
              <c:f>Wynyd_Till!$T$7:$T$21</c:f>
              <c:strCache>
                <c:ptCount val="15"/>
                <c:pt idx="0">
                  <c:v>&lt;0.1</c:v>
                </c:pt>
                <c:pt idx="1">
                  <c:v>0.1-0.2</c:v>
                </c:pt>
                <c:pt idx="2">
                  <c:v>0.2-0.3</c:v>
                </c:pt>
                <c:pt idx="3">
                  <c:v>0.3-0.4</c:v>
                </c:pt>
                <c:pt idx="4">
                  <c:v>0.4-0.5</c:v>
                </c:pt>
                <c:pt idx="5">
                  <c:v>0.5-0.6</c:v>
                </c:pt>
                <c:pt idx="6">
                  <c:v>0.6-0.7</c:v>
                </c:pt>
                <c:pt idx="7">
                  <c:v>0.7-0.8</c:v>
                </c:pt>
                <c:pt idx="8">
                  <c:v>0.8-0.9</c:v>
                </c:pt>
                <c:pt idx="9">
                  <c:v>0.9-1.0</c:v>
                </c:pt>
                <c:pt idx="10">
                  <c:v>1.0-1.1</c:v>
                </c:pt>
                <c:pt idx="11">
                  <c:v>1.1-1.2</c:v>
                </c:pt>
                <c:pt idx="12">
                  <c:v>1.2-1.3</c:v>
                </c:pt>
                <c:pt idx="13">
                  <c:v>1.3-1.4</c:v>
                </c:pt>
                <c:pt idx="14">
                  <c:v>&gt;1.4</c:v>
                </c:pt>
              </c:strCache>
            </c:strRef>
          </c:cat>
          <c:val>
            <c:numRef>
              <c:f>Wynyd_Till!$U$7:$U$21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6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0884320"/>
        <c:axId val="880877248"/>
      </c:barChart>
      <c:catAx>
        <c:axId val="88088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/>
                  <a:t>Susceptibility x 1</a:t>
                </a:r>
                <a:r>
                  <a:rPr lang="en-AU" sz="1000" b="1" i="0" baseline="0"/>
                  <a:t>0</a:t>
                </a:r>
                <a:r>
                  <a:rPr lang="en-AU" sz="1000" b="1" i="0" baseline="30000"/>
                  <a:t>-3</a:t>
                </a:r>
                <a:r>
                  <a:rPr lang="en-US" sz="1000" b="1" i="0" baseline="0"/>
                  <a:t> SI units  </a:t>
                </a:r>
                <a:endParaRPr lang="en-AU" sz="1000" b="1" i="0" baseline="0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80877248"/>
        <c:crosses val="autoZero"/>
        <c:auto val="1"/>
        <c:lblAlgn val="ctr"/>
        <c:lblOffset val="100"/>
        <c:noMultiLvlLbl val="0"/>
      </c:catAx>
      <c:valAx>
        <c:axId val="880877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0884320"/>
        <c:crosses val="autoZero"/>
        <c:crossBetween val="between"/>
      </c:valAx>
      <c:spPr>
        <a:solidFill>
          <a:srgbClr val="EEECE1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16200000" scaled="0"/>
    </a:gradFill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292100</xdr:colOff>
      <xdr:row>2</xdr:row>
      <xdr:rowOff>38100</xdr:rowOff>
    </xdr:from>
    <xdr:to>
      <xdr:col>13</xdr:col>
      <xdr:colOff>596900</xdr:colOff>
      <xdr:row>20</xdr:row>
      <xdr:rowOff>44450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355600</xdr:colOff>
      <xdr:row>5</xdr:row>
      <xdr:rowOff>101600</xdr:rowOff>
    </xdr:from>
    <xdr:to>
      <xdr:col>22</xdr:col>
      <xdr:colOff>425450</xdr:colOff>
      <xdr:row>24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222250</xdr:colOff>
      <xdr:row>40</xdr:row>
      <xdr:rowOff>25400</xdr:rowOff>
    </xdr:from>
    <xdr:to>
      <xdr:col>23</xdr:col>
      <xdr:colOff>50800</xdr:colOff>
      <xdr:row>60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65</xdr:row>
      <xdr:rowOff>0</xdr:rowOff>
    </xdr:from>
    <xdr:to>
      <xdr:col>23</xdr:col>
      <xdr:colOff>438150</xdr:colOff>
      <xdr:row>85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158750</xdr:colOff>
      <xdr:row>3</xdr:row>
      <xdr:rowOff>12700</xdr:rowOff>
    </xdr:from>
    <xdr:to>
      <xdr:col>14</xdr:col>
      <xdr:colOff>463550</xdr:colOff>
      <xdr:row>21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9</xdr:row>
      <xdr:rowOff>0</xdr:rowOff>
    </xdr:from>
    <xdr:to>
      <xdr:col>18</xdr:col>
      <xdr:colOff>304800</xdr:colOff>
      <xdr:row>29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5</xdr:row>
      <xdr:rowOff>50800</xdr:rowOff>
    </xdr:from>
    <xdr:to>
      <xdr:col>19</xdr:col>
      <xdr:colOff>438150</xdr:colOff>
      <xdr:row>25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527050</xdr:colOff>
      <xdr:row>17</xdr:row>
      <xdr:rowOff>57150</xdr:rowOff>
    </xdr:from>
    <xdr:to>
      <xdr:col>22</xdr:col>
      <xdr:colOff>596900</xdr:colOff>
      <xdr:row>33</xdr:row>
      <xdr:rowOff>146050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520700</xdr:colOff>
      <xdr:row>35</xdr:row>
      <xdr:rowOff>31750</xdr:rowOff>
    </xdr:from>
    <xdr:to>
      <xdr:col>22</xdr:col>
      <xdr:colOff>603250</xdr:colOff>
      <xdr:row>53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260350</xdr:colOff>
      <xdr:row>4</xdr:row>
      <xdr:rowOff>95250</xdr:rowOff>
    </xdr:from>
    <xdr:to>
      <xdr:col>14</xdr:col>
      <xdr:colOff>565150</xdr:colOff>
      <xdr:row>21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25</xdr:row>
      <xdr:rowOff>152400</xdr:rowOff>
    </xdr:from>
    <xdr:to>
      <xdr:col>14</xdr:col>
      <xdr:colOff>571500</xdr:colOff>
      <xdr:row>42</xdr:row>
      <xdr:rowOff>120650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311150</xdr:colOff>
      <xdr:row>43</xdr:row>
      <xdr:rowOff>146050</xdr:rowOff>
    </xdr:from>
    <xdr:to>
      <xdr:col>15</xdr:col>
      <xdr:colOff>6350</xdr:colOff>
      <xdr:row>60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342900</xdr:colOff>
      <xdr:row>62</xdr:row>
      <xdr:rowOff>12700</xdr:rowOff>
    </xdr:from>
    <xdr:to>
      <xdr:col>15</xdr:col>
      <xdr:colOff>190500</xdr:colOff>
      <xdr:row>79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330200</xdr:colOff>
      <xdr:row>80</xdr:row>
      <xdr:rowOff>139700</xdr:rowOff>
    </xdr:from>
    <xdr:to>
      <xdr:col>15</xdr:col>
      <xdr:colOff>196850</xdr:colOff>
      <xdr:row>100</xdr:row>
      <xdr:rowOff>25400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158750</xdr:colOff>
      <xdr:row>6</xdr:row>
      <xdr:rowOff>19050</xdr:rowOff>
    </xdr:from>
    <xdr:to>
      <xdr:col>19</xdr:col>
      <xdr:colOff>463550</xdr:colOff>
      <xdr:row>23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107950</xdr:colOff>
      <xdr:row>6</xdr:row>
      <xdr:rowOff>101600</xdr:rowOff>
    </xdr:from>
    <xdr:to>
      <xdr:col>9</xdr:col>
      <xdr:colOff>412750</xdr:colOff>
      <xdr:row>23</xdr:row>
      <xdr:rowOff>146050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171450</xdr:colOff>
      <xdr:row>31</xdr:row>
      <xdr:rowOff>57150</xdr:rowOff>
    </xdr:from>
    <xdr:to>
      <xdr:col>9</xdr:col>
      <xdr:colOff>476250</xdr:colOff>
      <xdr:row>48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158750</xdr:colOff>
      <xdr:row>55</xdr:row>
      <xdr:rowOff>25400</xdr:rowOff>
    </xdr:from>
    <xdr:to>
      <xdr:col>9</xdr:col>
      <xdr:colOff>463550</xdr:colOff>
      <xdr:row>72</xdr:row>
      <xdr:rowOff>31750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19</xdr:row>
      <xdr:rowOff>0</xdr:rowOff>
    </xdr:from>
    <xdr:to>
      <xdr:col>10</xdr:col>
      <xdr:colOff>323850</xdr:colOff>
      <xdr:row>39</xdr:row>
      <xdr:rowOff>44450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482600</xdr:colOff>
      <xdr:row>5</xdr:row>
      <xdr:rowOff>139700</xdr:rowOff>
    </xdr:from>
    <xdr:to>
      <xdr:col>24</xdr:col>
      <xdr:colOff>177800</xdr:colOff>
      <xdr:row>24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508000</xdr:colOff>
      <xdr:row>25</xdr:row>
      <xdr:rowOff>38100</xdr:rowOff>
    </xdr:from>
    <xdr:to>
      <xdr:col>24</xdr:col>
      <xdr:colOff>203200</xdr:colOff>
      <xdr:row>42</xdr:row>
      <xdr:rowOff>6350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463550</xdr:colOff>
      <xdr:row>4</xdr:row>
      <xdr:rowOff>139700</xdr:rowOff>
    </xdr:from>
    <xdr:to>
      <xdr:col>18</xdr:col>
      <xdr:colOff>158750</xdr:colOff>
      <xdr:row>25</xdr:row>
      <xdr:rowOff>107950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26</xdr:row>
      <xdr:rowOff>19050</xdr:rowOff>
    </xdr:from>
    <xdr:to>
      <xdr:col>18</xdr:col>
      <xdr:colOff>190500</xdr:colOff>
      <xdr:row>43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177800</xdr:colOff>
      <xdr:row>5</xdr:row>
      <xdr:rowOff>25400</xdr:rowOff>
    </xdr:from>
    <xdr:to>
      <xdr:col>20</xdr:col>
      <xdr:colOff>311150</xdr:colOff>
      <xdr:row>32</xdr:row>
      <xdr:rowOff>57150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222250</xdr:colOff>
      <xdr:row>34</xdr:row>
      <xdr:rowOff>31750</xdr:rowOff>
    </xdr:from>
    <xdr:to>
      <xdr:col>20</xdr:col>
      <xdr:colOff>323850</xdr:colOff>
      <xdr:row>54</xdr:row>
      <xdr:rowOff>88900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196850</xdr:colOff>
      <xdr:row>3</xdr:row>
      <xdr:rowOff>114300</xdr:rowOff>
    </xdr:from>
    <xdr:to>
      <xdr:col>24</xdr:col>
      <xdr:colOff>527050</xdr:colOff>
      <xdr:row>21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450850</xdr:colOff>
      <xdr:row>29</xdr:row>
      <xdr:rowOff>120650</xdr:rowOff>
    </xdr:from>
    <xdr:to>
      <xdr:col>25</xdr:col>
      <xdr:colOff>146050</xdr:colOff>
      <xdr:row>46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444500</xdr:colOff>
      <xdr:row>50</xdr:row>
      <xdr:rowOff>50800</xdr:rowOff>
    </xdr:from>
    <xdr:to>
      <xdr:col>25</xdr:col>
      <xdr:colOff>107950</xdr:colOff>
      <xdr:row>66</xdr:row>
      <xdr:rowOff>44450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368300</xdr:colOff>
      <xdr:row>10</xdr:row>
      <xdr:rowOff>12700</xdr:rowOff>
    </xdr:from>
    <xdr:to>
      <xdr:col>17</xdr:col>
      <xdr:colOff>63500</xdr:colOff>
      <xdr:row>26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171450</xdr:colOff>
      <xdr:row>1</xdr:row>
      <xdr:rowOff>50800</xdr:rowOff>
    </xdr:from>
    <xdr:to>
      <xdr:col>21</xdr:col>
      <xdr:colOff>292100</xdr:colOff>
      <xdr:row>22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190500</xdr:colOff>
      <xdr:row>22</xdr:row>
      <xdr:rowOff>146050</xdr:rowOff>
    </xdr:from>
    <xdr:to>
      <xdr:col>21</xdr:col>
      <xdr:colOff>298450</xdr:colOff>
      <xdr:row>43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tabSelected="1" workbookViewId="0">
      <pane ySplit="1" topLeftCell="A2" activePane="bottomLeft" state="frozen"/>
      <selection pane="bottomLeft" activeCell="H71" sqref="H71"/>
    </sheetView>
  </sheetViews>
  <sheetFormatPr defaultRowHeight="12.75" x14ac:dyDescent="0.35"/>
  <cols>
    <col min="1" max="1" width="20.796875" style="114" customWidth="1"/>
    <col min="2" max="2" width="10.46484375" style="281" customWidth="1"/>
    <col min="3" max="3" width="10.33203125" style="281" customWidth="1"/>
    <col min="4" max="4" width="10.796875" customWidth="1"/>
    <col min="5" max="5" width="10" customWidth="1"/>
    <col min="6" max="6" width="14.86328125" customWidth="1"/>
    <col min="7" max="7" width="9.6640625" style="4" customWidth="1"/>
    <col min="8" max="8" width="11.33203125" customWidth="1"/>
    <col min="9" max="9" width="8.796875" customWidth="1"/>
    <col min="10" max="10" width="9" customWidth="1"/>
    <col min="11" max="11" width="6.19921875" style="16" customWidth="1"/>
    <col min="12" max="12" width="8.19921875" style="115" customWidth="1"/>
    <col min="13" max="14" width="8.796875" style="146"/>
  </cols>
  <sheetData>
    <row r="1" spans="1:14" s="57" customFormat="1" ht="13.15" x14ac:dyDescent="0.4">
      <c r="A1" s="100" t="s">
        <v>104</v>
      </c>
      <c r="B1" s="282" t="s">
        <v>455</v>
      </c>
      <c r="C1" s="282" t="s">
        <v>456</v>
      </c>
      <c r="D1" s="283" t="s">
        <v>457</v>
      </c>
      <c r="E1" s="283" t="s">
        <v>458</v>
      </c>
      <c r="F1" s="58" t="s">
        <v>105</v>
      </c>
      <c r="G1" s="284" t="s">
        <v>106</v>
      </c>
      <c r="H1" s="283" t="s">
        <v>107</v>
      </c>
      <c r="I1" s="283" t="s">
        <v>460</v>
      </c>
      <c r="J1" s="283" t="s">
        <v>459</v>
      </c>
      <c r="K1" s="58" t="s">
        <v>34</v>
      </c>
      <c r="L1" s="132" t="s">
        <v>108</v>
      </c>
      <c r="M1" s="285" t="s">
        <v>414</v>
      </c>
      <c r="N1" s="285"/>
    </row>
    <row r="2" spans="1:14" s="62" customFormat="1" x14ac:dyDescent="0.35">
      <c r="A2" s="101" t="s">
        <v>109</v>
      </c>
      <c r="B2" s="254">
        <v>304219</v>
      </c>
      <c r="C2" s="254">
        <v>5468494</v>
      </c>
      <c r="D2" s="62">
        <f>B2+113</f>
        <v>304332</v>
      </c>
      <c r="E2" s="62">
        <f>C2+184</f>
        <v>5468678</v>
      </c>
      <c r="F2" s="62" t="s">
        <v>36</v>
      </c>
      <c r="G2" s="63">
        <f>Rocky_Cape_Gp!B23</f>
        <v>4.8181818181818187E-2</v>
      </c>
      <c r="H2" s="62">
        <f>MEDIAN(Rocky_Cape_Gp!B7:B17)</f>
        <v>0.05</v>
      </c>
      <c r="I2" s="62">
        <v>0.08</v>
      </c>
      <c r="J2" s="62">
        <v>0.03</v>
      </c>
      <c r="K2" s="64">
        <v>11</v>
      </c>
      <c r="L2" s="116" t="str">
        <f>Rocky_Cape_Gp!B3</f>
        <v>4/1</v>
      </c>
      <c r="M2" s="133"/>
      <c r="N2" s="133"/>
    </row>
    <row r="3" spans="1:14" s="62" customFormat="1" x14ac:dyDescent="0.35">
      <c r="A3" s="101" t="s">
        <v>109</v>
      </c>
      <c r="B3" s="254">
        <v>300311</v>
      </c>
      <c r="C3" s="254">
        <v>5465988</v>
      </c>
      <c r="D3" s="62">
        <f>B3+113</f>
        <v>300424</v>
      </c>
      <c r="E3" s="62">
        <f>C3+184</f>
        <v>5466172</v>
      </c>
      <c r="F3" s="62" t="s">
        <v>36</v>
      </c>
      <c r="G3" s="63">
        <f>Rocky_Cape_Gp!C23</f>
        <v>5.2499999999999998E-2</v>
      </c>
      <c r="H3" s="62">
        <f>MEDIAN(Rocky_Cape_Gp!C7:C18)</f>
        <v>0.05</v>
      </c>
      <c r="I3" s="62">
        <v>0.08</v>
      </c>
      <c r="J3" s="62">
        <v>0.04</v>
      </c>
      <c r="K3" s="64">
        <v>12</v>
      </c>
      <c r="L3" s="116" t="str">
        <f>Rocky_Cape_Gp!C3</f>
        <v>4/2</v>
      </c>
      <c r="M3" s="133" t="s">
        <v>390</v>
      </c>
      <c r="N3" s="133"/>
    </row>
    <row r="4" spans="1:14" s="62" customFormat="1" x14ac:dyDescent="0.35">
      <c r="A4" s="101" t="s">
        <v>109</v>
      </c>
      <c r="B4" s="254">
        <f>Rocky_Cape_Gp!D$4</f>
        <v>307853</v>
      </c>
      <c r="C4" s="254">
        <f>Rocky_Cape_Gp!D$5</f>
        <v>5496902</v>
      </c>
      <c r="D4" s="62">
        <f>B4+113</f>
        <v>307966</v>
      </c>
      <c r="E4" s="62">
        <f>C4+184</f>
        <v>5497086</v>
      </c>
      <c r="F4" s="62" t="s">
        <v>36</v>
      </c>
      <c r="G4" s="63">
        <f>Rocky_Cape_Gp!D40</f>
        <v>6.3750000000000015E-2</v>
      </c>
      <c r="H4" s="62">
        <f>MEDIAN(Rocky_Cape_Gp!D7:D38)</f>
        <v>0.05</v>
      </c>
      <c r="I4" s="62">
        <v>0.2</v>
      </c>
      <c r="J4" s="62">
        <v>0.02</v>
      </c>
      <c r="K4" s="64">
        <v>32</v>
      </c>
      <c r="L4" s="116" t="str">
        <f>Rocky_Cape_Gp!D$3</f>
        <v>5/1</v>
      </c>
      <c r="M4" s="133" t="s">
        <v>391</v>
      </c>
      <c r="N4" s="133"/>
    </row>
    <row r="5" spans="1:14" s="62" customFormat="1" x14ac:dyDescent="0.35">
      <c r="A5" s="101" t="s">
        <v>109</v>
      </c>
      <c r="B5" s="254">
        <f>Rocky_Cape_Gp!E$4</f>
        <v>307123</v>
      </c>
      <c r="C5" s="254">
        <f>Rocky_Cape_Gp!E$5</f>
        <v>5497907</v>
      </c>
      <c r="D5" s="62">
        <f>B5+113</f>
        <v>307236</v>
      </c>
      <c r="E5" s="62">
        <f>C5+184</f>
        <v>5498091</v>
      </c>
      <c r="F5" s="62" t="s">
        <v>36</v>
      </c>
      <c r="G5" s="63">
        <f>Rocky_Cape_Gp!E23</f>
        <v>4.1428571428571433E-2</v>
      </c>
      <c r="H5" s="62">
        <f>MEDIAN(Rocky_Cape_Gp!E7:E13)</f>
        <v>0.04</v>
      </c>
      <c r="I5" s="62">
        <v>7.0000000000000007E-2</v>
      </c>
      <c r="J5" s="62">
        <v>0.01</v>
      </c>
      <c r="K5" s="64">
        <v>7</v>
      </c>
      <c r="L5" s="116" t="str">
        <f>Rocky_Cape_Gp!E$3</f>
        <v>5/2</v>
      </c>
      <c r="M5" s="133"/>
      <c r="N5" s="133"/>
    </row>
    <row r="6" spans="1:14" s="62" customFormat="1" x14ac:dyDescent="0.35">
      <c r="A6" s="101" t="s">
        <v>109</v>
      </c>
      <c r="B6" s="254">
        <f>Rocky_Cape_Gp!F$4</f>
        <v>306948</v>
      </c>
      <c r="C6" s="254">
        <f>Rocky_Cape_Gp!F$5</f>
        <v>5497557</v>
      </c>
      <c r="D6" s="62">
        <f t="shared" ref="D6:D90" si="0">B6+113</f>
        <v>307061</v>
      </c>
      <c r="E6" s="62">
        <f t="shared" ref="E6:E90" si="1">C6+184</f>
        <v>5497741</v>
      </c>
      <c r="F6" s="62" t="s">
        <v>36</v>
      </c>
      <c r="G6" s="63">
        <f>Rocky_Cape_Gp!F23</f>
        <v>3.1666666666666662E-2</v>
      </c>
      <c r="H6" s="62">
        <f>MEDIAN(Rocky_Cape_Gp!F7:F18)</f>
        <v>0.03</v>
      </c>
      <c r="I6" s="62">
        <v>0.05</v>
      </c>
      <c r="J6" s="62">
        <v>0.01</v>
      </c>
      <c r="K6" s="64">
        <v>12</v>
      </c>
      <c r="L6" s="116" t="str">
        <f>Rocky_Cape_Gp!F$3</f>
        <v>5/3</v>
      </c>
      <c r="M6" s="133" t="s">
        <v>392</v>
      </c>
      <c r="N6" s="133"/>
    </row>
    <row r="7" spans="1:14" s="62" customFormat="1" x14ac:dyDescent="0.35">
      <c r="A7" s="101" t="s">
        <v>109</v>
      </c>
      <c r="B7" s="254">
        <f>Rocky_Cape_Gp!G$4</f>
        <v>376555</v>
      </c>
      <c r="C7" s="254">
        <f>Rocky_Cape_Gp!G$5</f>
        <v>5464968</v>
      </c>
      <c r="D7" s="62">
        <f t="shared" si="0"/>
        <v>376668</v>
      </c>
      <c r="E7" s="62">
        <f t="shared" si="1"/>
        <v>5465152</v>
      </c>
      <c r="F7" s="62" t="s">
        <v>36</v>
      </c>
      <c r="G7" s="63">
        <f>Rocky_Cape_Gp!G40</f>
        <v>4.0333333333333346E-2</v>
      </c>
      <c r="H7" s="62">
        <f>MEDIAN(Rocky_Cape_Gp!G7:G36)</f>
        <v>0.04</v>
      </c>
      <c r="I7" s="62">
        <v>0.06</v>
      </c>
      <c r="J7" s="62">
        <v>0.02</v>
      </c>
      <c r="K7" s="64">
        <v>30</v>
      </c>
      <c r="L7" s="116" t="str">
        <f>Rocky_Cape_Gp!G$3</f>
        <v>6/5</v>
      </c>
      <c r="M7" s="133" t="s">
        <v>407</v>
      </c>
      <c r="N7" s="133" t="s">
        <v>408</v>
      </c>
    </row>
    <row r="8" spans="1:14" s="62" customFormat="1" x14ac:dyDescent="0.35">
      <c r="A8" s="101" t="s">
        <v>109</v>
      </c>
      <c r="B8" s="254">
        <f>Rocky_Cape_Gp!H$4</f>
        <v>377399</v>
      </c>
      <c r="C8" s="254">
        <f>Rocky_Cape_Gp!H$5</f>
        <v>5470523</v>
      </c>
      <c r="D8" s="62">
        <f t="shared" si="0"/>
        <v>377512</v>
      </c>
      <c r="E8" s="62">
        <f t="shared" si="1"/>
        <v>5470707</v>
      </c>
      <c r="F8" s="62" t="s">
        <v>36</v>
      </c>
      <c r="G8" s="63">
        <f>Rocky_Cape_Gp!H40</f>
        <v>0.05</v>
      </c>
      <c r="H8" s="62">
        <f>MEDIAN(Rocky_Cape_Gp!H7:H26)</f>
        <v>0.05</v>
      </c>
      <c r="I8" s="62">
        <v>7.0000000000000007E-2</v>
      </c>
      <c r="J8" s="62">
        <v>0.03</v>
      </c>
      <c r="K8" s="64">
        <v>20</v>
      </c>
      <c r="L8" s="116" t="str">
        <f>Rocky_Cape_Gp!H$3</f>
        <v>6/6</v>
      </c>
      <c r="M8" s="133" t="s">
        <v>409</v>
      </c>
      <c r="N8" s="133"/>
    </row>
    <row r="9" spans="1:14" s="162" customFormat="1" ht="15" x14ac:dyDescent="0.4">
      <c r="A9" s="161" t="s">
        <v>109</v>
      </c>
      <c r="B9" s="255"/>
      <c r="C9" s="255"/>
      <c r="G9" s="163">
        <f>SUM(G2*K2+G3*K3+G4*K4+G5*K5+G6*K6+G7*K7+G8*K8)/(K2+K3+K4+K5+K6+K7+K8)</f>
        <v>4.9032258064516138E-2</v>
      </c>
      <c r="H9" s="162">
        <f>MEDIAN(Rocky_Cape_Gp!B7:B17,Rocky_Cape_Gp!C7:C18,Rocky_Cape_Gp!D7:D38,Rocky_Cape_Gp!E7:E13,Rocky_Cape_Gp!F7:F18,Rocky_Cape_Gp!G7:G36,Rocky_Cape_Gp!H7:H26)</f>
        <v>0.04</v>
      </c>
      <c r="I9" s="162">
        <v>0.08</v>
      </c>
      <c r="J9" s="162">
        <v>0.01</v>
      </c>
      <c r="K9" s="164">
        <f>SUM(K2:K8)</f>
        <v>124</v>
      </c>
      <c r="L9" s="165"/>
      <c r="M9" s="166"/>
      <c r="N9" s="166"/>
    </row>
    <row r="10" spans="1:14" s="168" customFormat="1" ht="15" x14ac:dyDescent="0.4">
      <c r="A10" s="167" t="s">
        <v>465</v>
      </c>
      <c r="B10" s="256"/>
      <c r="C10" s="256"/>
      <c r="D10" s="168">
        <f>Jacob_Qte!B4</f>
        <v>386774</v>
      </c>
      <c r="E10" s="168">
        <f>Jacob_Qte!B5</f>
        <v>5469719</v>
      </c>
      <c r="F10" s="168" t="s">
        <v>36</v>
      </c>
      <c r="G10" s="169">
        <f>Jacob_Qte!B22</f>
        <v>7.1428571428571425E-2</v>
      </c>
      <c r="H10" s="169">
        <f>Jacob_Qte!B23</f>
        <v>0.06</v>
      </c>
      <c r="I10" s="168">
        <f>SMALL(Jacob_Qte!B7:B20,14)</f>
        <v>0.23</v>
      </c>
      <c r="J10" s="168">
        <f>SMALL(Jacob_Qte!B7:B20,1)</f>
        <v>0.03</v>
      </c>
      <c r="K10" s="170">
        <v>14</v>
      </c>
      <c r="L10" s="130" t="s">
        <v>519</v>
      </c>
      <c r="M10" s="144" t="s">
        <v>466</v>
      </c>
      <c r="N10" s="171"/>
    </row>
    <row r="11" spans="1:14" s="59" customFormat="1" x14ac:dyDescent="0.35">
      <c r="A11" s="102" t="s">
        <v>110</v>
      </c>
      <c r="B11" s="257">
        <f>Forest_Cong!B4</f>
        <v>304219</v>
      </c>
      <c r="C11" s="257">
        <f>Forest_Cong!B5</f>
        <v>5468494</v>
      </c>
      <c r="D11" s="59">
        <f t="shared" si="0"/>
        <v>304332</v>
      </c>
      <c r="E11" s="59">
        <f t="shared" si="1"/>
        <v>5468678</v>
      </c>
      <c r="F11" s="66" t="s">
        <v>111</v>
      </c>
      <c r="G11" s="60">
        <f>Forest_Cong!B23</f>
        <v>3.6666666666666674E-2</v>
      </c>
      <c r="H11" s="59">
        <f>MEDIAN(Forest_Cong!B7:B15)</f>
        <v>0.03</v>
      </c>
      <c r="I11" s="59">
        <v>0.06</v>
      </c>
      <c r="J11" s="59">
        <v>0.02</v>
      </c>
      <c r="K11" s="61">
        <v>9</v>
      </c>
      <c r="L11" s="117" t="str">
        <f>Forest_Cong!B3</f>
        <v>4/1</v>
      </c>
      <c r="M11" s="134"/>
      <c r="N11" s="134"/>
    </row>
    <row r="12" spans="1:14" s="59" customFormat="1" x14ac:dyDescent="0.35">
      <c r="A12" s="102" t="s">
        <v>110</v>
      </c>
      <c r="B12" s="257">
        <f>Forest_Cong!C4</f>
        <v>357362</v>
      </c>
      <c r="C12" s="257">
        <f>Forest_Cong!C5</f>
        <v>5476696</v>
      </c>
      <c r="D12" s="59">
        <f>B12+113</f>
        <v>357475</v>
      </c>
      <c r="E12" s="59">
        <f>C12+184</f>
        <v>5476880</v>
      </c>
      <c r="F12" s="66" t="s">
        <v>111</v>
      </c>
      <c r="G12" s="60">
        <f>Forest_Cong!C23</f>
        <v>3.6666666666666667E-2</v>
      </c>
      <c r="H12" s="59">
        <f>MEDIAN(Forest_Cong!C7:C21)</f>
        <v>0.04</v>
      </c>
      <c r="I12" s="59">
        <v>0.05</v>
      </c>
      <c r="J12" s="59">
        <v>0.02</v>
      </c>
      <c r="K12" s="61">
        <v>15</v>
      </c>
      <c r="L12" s="117" t="str">
        <f>Forest_Cong!C3</f>
        <v>6/1</v>
      </c>
      <c r="M12" s="134" t="s">
        <v>401</v>
      </c>
      <c r="N12" s="134"/>
    </row>
    <row r="13" spans="1:14" s="173" customFormat="1" ht="15" x14ac:dyDescent="0.4">
      <c r="A13" s="172" t="s">
        <v>521</v>
      </c>
      <c r="B13" s="258"/>
      <c r="C13" s="258"/>
      <c r="G13" s="174">
        <v>0.04</v>
      </c>
      <c r="H13" s="173">
        <v>0.04</v>
      </c>
      <c r="I13" s="173">
        <v>0.06</v>
      </c>
      <c r="J13" s="173">
        <v>0.02</v>
      </c>
      <c r="K13" s="175">
        <v>24</v>
      </c>
      <c r="L13" s="175"/>
      <c r="M13" s="176"/>
      <c r="N13" s="176"/>
    </row>
    <row r="14" spans="1:14" s="250" customFormat="1" ht="15" x14ac:dyDescent="0.4">
      <c r="A14" s="249" t="s">
        <v>112</v>
      </c>
      <c r="B14" s="259">
        <f>Togari_Slt!B4</f>
        <v>320641</v>
      </c>
      <c r="C14" s="259">
        <f>Togari_Slt!B5</f>
        <v>5486920</v>
      </c>
      <c r="D14" s="250">
        <f t="shared" si="0"/>
        <v>320754</v>
      </c>
      <c r="E14" s="250">
        <f t="shared" si="1"/>
        <v>5487104</v>
      </c>
      <c r="F14" s="250" t="s">
        <v>114</v>
      </c>
      <c r="G14" s="251">
        <f>Togari_Slt!B29</f>
        <v>0.40190476190476188</v>
      </c>
      <c r="H14" s="250">
        <f>MEDIAN(Togari_Slt!B7:B27)</f>
        <v>0.34</v>
      </c>
      <c r="I14" s="250">
        <v>1.07</v>
      </c>
      <c r="J14" s="250">
        <v>0.12</v>
      </c>
      <c r="K14" s="252">
        <v>21</v>
      </c>
      <c r="L14" s="253" t="str">
        <f>Togari_Slt!B3</f>
        <v>5/5</v>
      </c>
      <c r="M14" s="153" t="s">
        <v>411</v>
      </c>
      <c r="N14" s="153" t="s">
        <v>393</v>
      </c>
    </row>
    <row r="15" spans="1:14" s="201" customFormat="1" ht="15" x14ac:dyDescent="0.4">
      <c r="A15" s="200" t="s">
        <v>113</v>
      </c>
      <c r="B15" s="260">
        <f>Togari_Mafics!B4</f>
        <v>321120</v>
      </c>
      <c r="C15" s="260">
        <f>Togari_Mafics!B5</f>
        <v>5484478</v>
      </c>
      <c r="D15" s="201">
        <f t="shared" si="0"/>
        <v>321233</v>
      </c>
      <c r="E15" s="201">
        <f t="shared" si="1"/>
        <v>5484662</v>
      </c>
      <c r="F15" s="201" t="s">
        <v>115</v>
      </c>
      <c r="G15" s="202">
        <f>Togari_Mafics!B69</f>
        <v>1.2255737704918035</v>
      </c>
      <c r="H15" s="201">
        <f>MEDIAN(Togari_Mafics!B7:B67)</f>
        <v>0.75</v>
      </c>
      <c r="I15" s="201">
        <v>8.25</v>
      </c>
      <c r="J15" s="201">
        <v>0.22</v>
      </c>
      <c r="K15" s="203">
        <v>61</v>
      </c>
      <c r="L15" s="204" t="str">
        <f>Togari_Mafics!B3</f>
        <v>5/6</v>
      </c>
      <c r="M15" s="135" t="s">
        <v>412</v>
      </c>
      <c r="N15" s="135" t="s">
        <v>413</v>
      </c>
    </row>
    <row r="16" spans="1:14" s="148" customFormat="1" x14ac:dyDescent="0.35">
      <c r="A16" s="147" t="s">
        <v>421</v>
      </c>
      <c r="B16" s="261">
        <v>329400</v>
      </c>
      <c r="C16" s="261">
        <v>5487437</v>
      </c>
      <c r="D16" s="148">
        <f t="shared" si="0"/>
        <v>329513</v>
      </c>
      <c r="E16" s="148">
        <f t="shared" si="1"/>
        <v>5487621</v>
      </c>
      <c r="F16" s="149" t="s">
        <v>114</v>
      </c>
      <c r="G16" s="150"/>
      <c r="K16" s="151"/>
      <c r="L16" s="152" t="s">
        <v>395</v>
      </c>
      <c r="M16" s="153" t="s">
        <v>396</v>
      </c>
      <c r="N16" s="153"/>
    </row>
    <row r="17" spans="1:14" s="148" customFormat="1" x14ac:dyDescent="0.35">
      <c r="A17" s="147" t="s">
        <v>454</v>
      </c>
      <c r="B17" s="261">
        <v>343515</v>
      </c>
      <c r="C17" s="261">
        <v>5471750</v>
      </c>
      <c r="D17" s="148">
        <f t="shared" si="0"/>
        <v>343628</v>
      </c>
      <c r="E17" s="148">
        <f t="shared" si="1"/>
        <v>5471934</v>
      </c>
      <c r="F17" s="149" t="s">
        <v>397</v>
      </c>
      <c r="G17" s="150"/>
      <c r="K17" s="151"/>
      <c r="L17" s="152" t="s">
        <v>398</v>
      </c>
      <c r="M17" s="153" t="s">
        <v>399</v>
      </c>
      <c r="N17" s="153"/>
    </row>
    <row r="18" spans="1:14" s="70" customFormat="1" x14ac:dyDescent="0.35">
      <c r="A18" s="105" t="s">
        <v>116</v>
      </c>
      <c r="B18" s="262">
        <f>Cowrie_Slt!B4</f>
        <v>357362</v>
      </c>
      <c r="C18" s="262">
        <f>Cowrie_Slt!B5</f>
        <v>5476676</v>
      </c>
      <c r="D18" s="70">
        <f t="shared" si="0"/>
        <v>357475</v>
      </c>
      <c r="E18" s="70">
        <f t="shared" si="1"/>
        <v>5476860</v>
      </c>
      <c r="F18" s="69" t="s">
        <v>114</v>
      </c>
      <c r="G18" s="71">
        <f>Cowrie_Slt!B38</f>
        <v>0.20000000000000007</v>
      </c>
      <c r="H18" s="71">
        <f>MEDIAN(Cowrie_Slt!B7:B36)</f>
        <v>0.19500000000000001</v>
      </c>
      <c r="I18" s="70">
        <v>0.27</v>
      </c>
      <c r="J18" s="70">
        <v>0.12</v>
      </c>
      <c r="K18" s="72">
        <v>30</v>
      </c>
      <c r="L18" s="120" t="str">
        <f>Cowrie_Slt!B3</f>
        <v>6/1</v>
      </c>
      <c r="M18" s="137" t="s">
        <v>400</v>
      </c>
      <c r="N18" s="137"/>
    </row>
    <row r="19" spans="1:14" s="70" customFormat="1" x14ac:dyDescent="0.35">
      <c r="A19" s="105" t="s">
        <v>116</v>
      </c>
      <c r="B19" s="262">
        <f>Cowrie_Slt!C4</f>
        <v>362040</v>
      </c>
      <c r="C19" s="262">
        <f>Cowrie_Slt!C5</f>
        <v>5476292</v>
      </c>
      <c r="D19" s="70">
        <f t="shared" si="0"/>
        <v>362153</v>
      </c>
      <c r="E19" s="70">
        <f t="shared" si="1"/>
        <v>5476476</v>
      </c>
      <c r="F19" s="69" t="s">
        <v>114</v>
      </c>
      <c r="G19" s="71">
        <f>Cowrie_Slt!C46</f>
        <v>0.14710526315789474</v>
      </c>
      <c r="H19" s="70">
        <f>MEDIAN(Cowrie_Slt!C7:C44)</f>
        <v>0.14000000000000001</v>
      </c>
      <c r="I19" s="70">
        <f>SMALL(Cowrie_Slt!C7:C44,38)</f>
        <v>0.38</v>
      </c>
      <c r="J19" s="70">
        <f>SMALL(Cowrie_Slt!D7:D44,1)</f>
        <v>0.06</v>
      </c>
      <c r="K19" s="72">
        <v>38</v>
      </c>
      <c r="L19" s="120" t="str">
        <f>Cowrie_Slt!C3</f>
        <v>6/2</v>
      </c>
      <c r="M19" s="137" t="s">
        <v>402</v>
      </c>
      <c r="N19" s="137"/>
    </row>
    <row r="20" spans="1:14" s="70" customFormat="1" x14ac:dyDescent="0.35">
      <c r="A20" s="105" t="s">
        <v>116</v>
      </c>
      <c r="B20" s="262">
        <f>Cowrie_Slt!D4</f>
        <v>366706</v>
      </c>
      <c r="C20" s="262">
        <f>Cowrie_Slt!D5</f>
        <v>5475095</v>
      </c>
      <c r="D20" s="70">
        <f>B20+113</f>
        <v>366819</v>
      </c>
      <c r="E20" s="70">
        <f>C20+184</f>
        <v>5475279</v>
      </c>
      <c r="F20" s="69" t="s">
        <v>114</v>
      </c>
      <c r="G20" s="71">
        <f>Cowrie_Slt!D38</f>
        <v>8.5000000000000006E-2</v>
      </c>
      <c r="H20" s="70">
        <f>MEDIAN(Cowrie_Slt!D7:D18)</f>
        <v>0.08</v>
      </c>
      <c r="I20" s="70">
        <f>SMALL(Cowrie_Slt!D7:D18,12)</f>
        <v>0.12</v>
      </c>
      <c r="J20" s="70">
        <f>SMALL(Cowrie_Slt!D7:D18,1)</f>
        <v>0.06</v>
      </c>
      <c r="K20" s="72">
        <v>12</v>
      </c>
      <c r="L20" s="120" t="str">
        <f>Cowrie_Slt!D3</f>
        <v>6/3</v>
      </c>
      <c r="M20" s="137"/>
      <c r="N20" s="137"/>
    </row>
    <row r="21" spans="1:14" s="178" customFormat="1" ht="15" x14ac:dyDescent="0.4">
      <c r="A21" s="177" t="s">
        <v>520</v>
      </c>
      <c r="B21" s="263"/>
      <c r="C21" s="263"/>
      <c r="G21" s="179">
        <f>SUM(G18*K18+G19*K19+G20*K20)/K21</f>
        <v>0.15762500000000002</v>
      </c>
      <c r="H21" s="178">
        <f>MEDIAN(Cowrie_Slt!B7:B36,Cowrie_Slt!C7:C44,Cowrie_Slt!D7:D18)</f>
        <v>0.16</v>
      </c>
      <c r="I21" s="178">
        <v>0.38</v>
      </c>
      <c r="J21" s="178">
        <v>0.06</v>
      </c>
      <c r="K21" s="180">
        <f>SUM(K18:K20)</f>
        <v>80</v>
      </c>
      <c r="L21" s="180"/>
      <c r="M21" s="181"/>
      <c r="N21" s="181"/>
    </row>
    <row r="22" spans="1:14" s="183" customFormat="1" ht="15" x14ac:dyDescent="0.4">
      <c r="A22" s="182" t="s">
        <v>117</v>
      </c>
      <c r="B22" s="264">
        <f>Irby_Slt!B4</f>
        <v>377409</v>
      </c>
      <c r="C22" s="264">
        <f>Irby_Slt!B5</f>
        <v>5470523</v>
      </c>
      <c r="D22" s="183">
        <f t="shared" si="0"/>
        <v>377522</v>
      </c>
      <c r="E22" s="183">
        <f t="shared" si="1"/>
        <v>5470707</v>
      </c>
      <c r="F22" s="183" t="s">
        <v>114</v>
      </c>
      <c r="G22" s="184">
        <f>Irby_Slt!B45</f>
        <v>8.6486486486486491E-2</v>
      </c>
      <c r="H22" s="183">
        <f>MEDIAN(Irby_Slt!B7:B43)</f>
        <v>0.08</v>
      </c>
      <c r="I22" s="183">
        <f>SMALL(Irby_Slt!B7:B43,36)</f>
        <v>0.19</v>
      </c>
      <c r="J22" s="183">
        <f>SMALL(Irby_Slt!B7:B43,1)</f>
        <v>0.01</v>
      </c>
      <c r="K22" s="185">
        <v>37</v>
      </c>
      <c r="L22" s="186" t="str">
        <f>Irby_Slt!B3</f>
        <v>6/6</v>
      </c>
      <c r="M22" s="143" t="s">
        <v>410</v>
      </c>
      <c r="N22" s="187"/>
    </row>
    <row r="23" spans="1:14" s="189" customFormat="1" ht="15" x14ac:dyDescent="0.4">
      <c r="A23" s="188" t="s">
        <v>118</v>
      </c>
      <c r="B23" s="265">
        <f>Keith_Mm!B4</f>
        <v>380086</v>
      </c>
      <c r="C23" s="265">
        <f>Keith_Mm!B5</f>
        <v>5455885</v>
      </c>
      <c r="D23" s="189">
        <f t="shared" si="0"/>
        <v>380199</v>
      </c>
      <c r="E23" s="189">
        <f t="shared" si="1"/>
        <v>5456069</v>
      </c>
      <c r="F23" s="189" t="s">
        <v>119</v>
      </c>
      <c r="G23" s="190">
        <f>Keith_Mm!B46</f>
        <v>0.38105263157894742</v>
      </c>
      <c r="H23" s="190">
        <f>MEDIAN(Keith_Mm!B7:B44)</f>
        <v>0.14500000000000002</v>
      </c>
      <c r="I23" s="189">
        <f>SMALL(Keith_Mm!B7:B44,38)</f>
        <v>6.05</v>
      </c>
      <c r="J23" s="189">
        <f>SMALL(Keith_Mm!B7:B44,1)</f>
        <v>0</v>
      </c>
      <c r="K23" s="191">
        <v>38</v>
      </c>
      <c r="L23" s="192" t="str">
        <f>Keith_Mm!B3</f>
        <v>8/1</v>
      </c>
      <c r="M23" s="138" t="s">
        <v>418</v>
      </c>
      <c r="N23" s="193"/>
    </row>
    <row r="24" spans="1:14" s="30" customFormat="1" x14ac:dyDescent="0.35">
      <c r="A24" s="103" t="s">
        <v>120</v>
      </c>
      <c r="B24" s="266">
        <f>Mafic_Dyke!B4</f>
        <v>320641</v>
      </c>
      <c r="C24" s="266">
        <f>Mafic_Dyke!B5</f>
        <v>5486920</v>
      </c>
      <c r="D24" s="30">
        <f t="shared" si="0"/>
        <v>320754</v>
      </c>
      <c r="E24" s="30">
        <f t="shared" si="1"/>
        <v>5487104</v>
      </c>
      <c r="F24" s="33" t="s">
        <v>115</v>
      </c>
      <c r="G24" s="67">
        <f>Mafic_Dyke!B21</f>
        <v>0.26499999999999996</v>
      </c>
      <c r="H24" s="67">
        <f>MEDIAN(Mafic_Dyke!B7:B12)</f>
        <v>0.255</v>
      </c>
      <c r="I24" s="30">
        <f>SMALL(Mafic_Dyke!B7:B12,6)</f>
        <v>0.36</v>
      </c>
      <c r="J24" s="30">
        <f>SMALL(Mafic_Dyke!B7:B12,1)</f>
        <v>0.17</v>
      </c>
      <c r="K24" s="68">
        <v>6</v>
      </c>
      <c r="L24" s="118" t="str">
        <f>Mafic_Dyke!B3</f>
        <v>5/5</v>
      </c>
      <c r="M24" s="135" t="s">
        <v>394</v>
      </c>
      <c r="N24" s="135"/>
    </row>
    <row r="25" spans="1:14" s="30" customFormat="1" x14ac:dyDescent="0.35">
      <c r="A25" s="103" t="s">
        <v>120</v>
      </c>
      <c r="B25" s="266">
        <f>Mafic_Dyke!C4</f>
        <v>362040</v>
      </c>
      <c r="C25" s="266">
        <f>Mafic_Dyke!C5</f>
        <v>5476292</v>
      </c>
      <c r="D25" s="30">
        <f t="shared" si="0"/>
        <v>362153</v>
      </c>
      <c r="E25" s="30">
        <f t="shared" si="1"/>
        <v>5476476</v>
      </c>
      <c r="F25" s="33" t="s">
        <v>115</v>
      </c>
      <c r="G25" s="67">
        <f>Mafic_Dyke!C41</f>
        <v>0.46030303030303032</v>
      </c>
      <c r="H25" s="67">
        <f>MEDIAN(Mafic_Dyke!C7:C39)</f>
        <v>0.46</v>
      </c>
      <c r="I25" s="30">
        <f>SMALL(Mafic_Dyke!C7:C39,33)</f>
        <v>0.62</v>
      </c>
      <c r="J25" s="30">
        <f>SMALL(Mafic_Dyke!C7:C39,1)</f>
        <v>0.33</v>
      </c>
      <c r="K25" s="68">
        <v>33</v>
      </c>
      <c r="L25" s="118" t="str">
        <f>Mafic_Dyke!C3</f>
        <v>6/2</v>
      </c>
      <c r="M25" s="135" t="s">
        <v>403</v>
      </c>
      <c r="N25" s="135"/>
    </row>
    <row r="26" spans="1:14" s="30" customFormat="1" x14ac:dyDescent="0.35">
      <c r="A26" s="103" t="s">
        <v>120</v>
      </c>
      <c r="B26" s="266">
        <f>Mafic_Dyke!D4</f>
        <v>366706</v>
      </c>
      <c r="C26" s="266">
        <f>Mafic_Dyke!D5</f>
        <v>5475095</v>
      </c>
      <c r="D26" s="30">
        <f t="shared" si="0"/>
        <v>366819</v>
      </c>
      <c r="E26" s="30">
        <f t="shared" si="1"/>
        <v>5475279</v>
      </c>
      <c r="F26" s="33" t="s">
        <v>115</v>
      </c>
      <c r="G26" s="67">
        <f>Mafic_Dyke!D30</f>
        <v>0.64909090909090905</v>
      </c>
      <c r="H26" s="67">
        <f>MEDIAN(Mafic_Dyke!D7:D28)</f>
        <v>0.66</v>
      </c>
      <c r="I26" s="30">
        <f>SMALL(Mafic_Dyke!D7:D28,22)</f>
        <v>0.78</v>
      </c>
      <c r="J26" s="30">
        <f>SMALL(Mafic_Dyke!D7:D28,1)</f>
        <v>0.4</v>
      </c>
      <c r="K26" s="68">
        <v>22</v>
      </c>
      <c r="L26" s="118" t="s">
        <v>15</v>
      </c>
      <c r="M26" s="135" t="s">
        <v>404</v>
      </c>
      <c r="N26" s="135"/>
    </row>
    <row r="27" spans="1:14" s="30" customFormat="1" x14ac:dyDescent="0.35">
      <c r="A27" s="103" t="s">
        <v>120</v>
      </c>
      <c r="B27" s="266">
        <f>Mafic_Dyke!E4</f>
        <v>366706</v>
      </c>
      <c r="C27" s="266">
        <f>Mafic_Dyke!E5</f>
        <v>5475095</v>
      </c>
      <c r="D27" s="30">
        <f t="shared" si="0"/>
        <v>366819</v>
      </c>
      <c r="E27" s="30">
        <f t="shared" si="1"/>
        <v>5475279</v>
      </c>
      <c r="F27" s="33" t="s">
        <v>115</v>
      </c>
      <c r="G27" s="67">
        <f>Mafic_Dyke!E30</f>
        <v>0.62777777777777777</v>
      </c>
      <c r="H27" s="67">
        <f>MEDIAN(Mafic_Dyke!E7:E24)</f>
        <v>0.62</v>
      </c>
      <c r="I27" s="30">
        <f>SMALL(Mafic_Dyke!E7:E24,18)</f>
        <v>0.86</v>
      </c>
      <c r="J27" s="30">
        <f>SMALL(Mafic_Dyke!E7:E24,1)</f>
        <v>0.4</v>
      </c>
      <c r="K27" s="68">
        <v>18</v>
      </c>
      <c r="L27" s="118" t="s">
        <v>15</v>
      </c>
      <c r="M27" s="135"/>
      <c r="N27" s="135"/>
    </row>
    <row r="28" spans="1:14" s="201" customFormat="1" ht="15" x14ac:dyDescent="0.4">
      <c r="A28" s="200" t="s">
        <v>120</v>
      </c>
      <c r="B28" s="260"/>
      <c r="C28" s="260"/>
      <c r="F28" s="201" t="s">
        <v>115</v>
      </c>
      <c r="G28" s="202">
        <f>SUM(G24*K24+G25*K25+G26*K26+G27*K27)/SUM(K24:K27)</f>
        <v>0.53620253164556964</v>
      </c>
      <c r="H28" s="202">
        <f>MEDIAN(Mafic_Dyke!B7:B12,Mafic_Dyke!C7:C39,Mafic_Dyke!D7:D28,Mafic_Dyke!E7:E24,Mafic_Dyke!F7:F19)</f>
        <v>0.51500000000000001</v>
      </c>
      <c r="I28" s="201">
        <v>0.86</v>
      </c>
      <c r="J28" s="201">
        <v>0.17</v>
      </c>
      <c r="K28" s="203">
        <f>SUM(K24:K27)</f>
        <v>79</v>
      </c>
      <c r="L28" s="204"/>
      <c r="M28" s="205"/>
      <c r="N28" s="205"/>
    </row>
    <row r="29" spans="1:14" s="74" customFormat="1" ht="15" x14ac:dyDescent="0.4">
      <c r="A29" s="188" t="s">
        <v>405</v>
      </c>
      <c r="B29" s="265">
        <f>Mafic_Dyke!F4</f>
        <v>368231</v>
      </c>
      <c r="C29" s="265">
        <f>Mafic_Dyke!F5</f>
        <v>5473553</v>
      </c>
      <c r="D29" s="189">
        <f t="shared" si="0"/>
        <v>368344</v>
      </c>
      <c r="E29" s="189">
        <f t="shared" si="1"/>
        <v>5473737</v>
      </c>
      <c r="F29" s="189" t="s">
        <v>143</v>
      </c>
      <c r="G29" s="190">
        <f>Mafic_Dyke!F30</f>
        <v>0.4661538461538462</v>
      </c>
      <c r="H29" s="190">
        <f>MEDIAN(Mafic_Dyke!F7:F19)</f>
        <v>0.48</v>
      </c>
      <c r="I29" s="189">
        <f>SMALL(Mafic_Dyke!F7:F19,13)</f>
        <v>0.54</v>
      </c>
      <c r="J29" s="189">
        <f>SMALL(Mafic_Dyke!F7:F19,1)</f>
        <v>0.36</v>
      </c>
      <c r="K29" s="191">
        <v>13</v>
      </c>
      <c r="L29" s="122" t="s">
        <v>18</v>
      </c>
      <c r="M29" s="138" t="s">
        <v>406</v>
      </c>
      <c r="N29" s="138"/>
    </row>
    <row r="30" spans="1:14" s="70" customFormat="1" x14ac:dyDescent="0.35">
      <c r="A30" s="105" t="s">
        <v>121</v>
      </c>
      <c r="B30" s="262">
        <f>Wynyd_Till!B4</f>
        <v>395079</v>
      </c>
      <c r="C30" s="262">
        <f>Wynyd_Till!B5</f>
        <v>5461204</v>
      </c>
      <c r="D30" s="70">
        <f t="shared" si="0"/>
        <v>395192</v>
      </c>
      <c r="E30" s="70">
        <f t="shared" si="1"/>
        <v>5461388</v>
      </c>
      <c r="F30" s="69" t="s">
        <v>122</v>
      </c>
      <c r="G30" s="71">
        <f>Wynyd_Till!B40</f>
        <v>0.16781250000000003</v>
      </c>
      <c r="H30" s="71">
        <f>MEDIAN(Wynyd_Till!B7:B38)</f>
        <v>0.16500000000000001</v>
      </c>
      <c r="I30" s="69">
        <f>SMALL(Wynyd_Till!B7:B38,32)</f>
        <v>0.24</v>
      </c>
      <c r="J30" s="69">
        <f>SMALL(Wynyd_Till!B7:B38,1)</f>
        <v>0.1</v>
      </c>
      <c r="K30" s="72">
        <v>32</v>
      </c>
      <c r="L30" s="120" t="str">
        <f>Wynyd_Till!B3</f>
        <v>7/1</v>
      </c>
      <c r="M30" s="137" t="s">
        <v>415</v>
      </c>
      <c r="N30" s="137"/>
    </row>
    <row r="31" spans="1:14" s="70" customFormat="1" x14ac:dyDescent="0.35">
      <c r="A31" s="105" t="s">
        <v>121</v>
      </c>
      <c r="B31" s="262">
        <f>Wynyd_Till!C4</f>
        <v>396952</v>
      </c>
      <c r="C31" s="262">
        <f>Wynyd_Till!C5</f>
        <v>5459899</v>
      </c>
      <c r="D31" s="70">
        <f t="shared" si="0"/>
        <v>397065</v>
      </c>
      <c r="E31" s="70">
        <f t="shared" si="1"/>
        <v>5460083</v>
      </c>
      <c r="F31" s="69" t="s">
        <v>122</v>
      </c>
      <c r="G31" s="71">
        <f>Wynyd_Till!C40</f>
        <v>0.19500000000000001</v>
      </c>
      <c r="H31" s="71">
        <f>MEDIAN(Wynyd_Till!C7:C26)</f>
        <v>0.17499999999999999</v>
      </c>
      <c r="I31" s="69">
        <f>SMALL(Wynyd_Till!C7:C26,20)</f>
        <v>0.48</v>
      </c>
      <c r="J31" s="69">
        <f>SMALL(Wynyd_Till!C7:C26,1)</f>
        <v>0.06</v>
      </c>
      <c r="K31" s="72">
        <v>20</v>
      </c>
      <c r="L31" s="120" t="str">
        <f>Wynyd_Till!C3</f>
        <v>7/2</v>
      </c>
      <c r="M31" s="137"/>
      <c r="N31" s="137"/>
    </row>
    <row r="32" spans="1:14" s="70" customFormat="1" x14ac:dyDescent="0.35">
      <c r="A32" s="105" t="s">
        <v>121</v>
      </c>
      <c r="B32" s="262">
        <f>Wynyd_Till!D4</f>
        <v>398095</v>
      </c>
      <c r="C32" s="262">
        <f>Wynyd_Till!D5</f>
        <v>5458441</v>
      </c>
      <c r="D32" s="70">
        <f t="shared" si="0"/>
        <v>398208</v>
      </c>
      <c r="E32" s="70">
        <f t="shared" si="1"/>
        <v>5458625</v>
      </c>
      <c r="F32" s="69" t="s">
        <v>122</v>
      </c>
      <c r="G32" s="71">
        <f>Wynyd_Till!D58</f>
        <v>0.57779999999999998</v>
      </c>
      <c r="H32" s="70">
        <f>MEDIAN(Wynyd_Till!D7:D56)</f>
        <v>0.57999999999999996</v>
      </c>
      <c r="I32" s="70">
        <f>SMALL(Wynyd_Till!D7:D56,50)</f>
        <v>1.39</v>
      </c>
      <c r="J32" s="70">
        <f>SMALL(Wynyd_Till!D7:D56,1)</f>
        <v>0.12</v>
      </c>
      <c r="K32" s="72">
        <v>50</v>
      </c>
      <c r="L32" s="120" t="str">
        <f>Wynyd_Till!D3</f>
        <v>22/3</v>
      </c>
      <c r="M32" s="137"/>
      <c r="N32" s="137"/>
    </row>
    <row r="33" spans="1:14" s="178" customFormat="1" ht="15" x14ac:dyDescent="0.4">
      <c r="A33" s="177" t="s">
        <v>121</v>
      </c>
      <c r="B33" s="263"/>
      <c r="C33" s="263"/>
      <c r="F33" s="178" t="s">
        <v>122</v>
      </c>
      <c r="G33" s="179">
        <f>SUM(G30*K30+G31*K31+G32*K32)/K33</f>
        <v>0.37411764705882355</v>
      </c>
      <c r="H33" s="178">
        <f>MEDIAN(Wynyd_Till!B7:B38,Wynyd_Till!C7:C26,Wynyd_Till!D7:D56)</f>
        <v>0.24</v>
      </c>
      <c r="I33" s="178">
        <v>1.39</v>
      </c>
      <c r="J33" s="178">
        <v>0.06</v>
      </c>
      <c r="K33" s="180">
        <f>SUM(K30:K32)</f>
        <v>102</v>
      </c>
      <c r="L33" s="206"/>
      <c r="M33" s="181"/>
      <c r="N33" s="181"/>
    </row>
    <row r="34" spans="1:14" s="97" customFormat="1" ht="15" x14ac:dyDescent="0.4">
      <c r="A34" s="207" t="s">
        <v>123</v>
      </c>
      <c r="B34" s="267">
        <f>Cooee_Dol!B4</f>
        <v>406021</v>
      </c>
      <c r="C34" s="267">
        <f>Cooee_Dol!B5</f>
        <v>5455715</v>
      </c>
      <c r="D34" s="208">
        <f t="shared" si="0"/>
        <v>406134</v>
      </c>
      <c r="E34" s="208">
        <f t="shared" si="1"/>
        <v>5455899</v>
      </c>
      <c r="F34" s="208" t="s">
        <v>124</v>
      </c>
      <c r="G34" s="209">
        <f>Cooee_Dol!B146</f>
        <v>0.75231884057971021</v>
      </c>
      <c r="H34" s="209">
        <f>MEDIAN(Cooee_Dol!B7:B144)</f>
        <v>0.54500000000000004</v>
      </c>
      <c r="I34" s="208">
        <f>SMALL(Cooee_Dol!B7:B144,138)</f>
        <v>3.33</v>
      </c>
      <c r="J34" s="208">
        <f>SMALL(Cooee_Dol!B7:B144,1)</f>
        <v>0.26</v>
      </c>
      <c r="K34" s="210">
        <v>138</v>
      </c>
      <c r="L34" s="123" t="str">
        <f>Cooee_Dol!B3</f>
        <v>9/1</v>
      </c>
      <c r="M34" s="139" t="s">
        <v>419</v>
      </c>
      <c r="N34" s="139"/>
    </row>
    <row r="35" spans="1:14" s="62" customFormat="1" x14ac:dyDescent="0.35">
      <c r="A35" s="101" t="s">
        <v>530</v>
      </c>
      <c r="B35" s="254">
        <v>408590</v>
      </c>
      <c r="C35" s="254">
        <v>5453740</v>
      </c>
      <c r="D35" s="62">
        <f t="shared" ref="D35" si="2">B35+113</f>
        <v>408703</v>
      </c>
      <c r="E35" s="62">
        <f t="shared" ref="E35" si="3">C35+184</f>
        <v>5453924</v>
      </c>
      <c r="F35" s="65" t="s">
        <v>36</v>
      </c>
      <c r="G35" s="63"/>
      <c r="K35" s="64"/>
      <c r="L35" s="116" t="s">
        <v>423</v>
      </c>
      <c r="M35" s="133" t="s">
        <v>424</v>
      </c>
      <c r="N35" s="133" t="s">
        <v>425</v>
      </c>
    </row>
    <row r="36" spans="1:14" s="62" customFormat="1" x14ac:dyDescent="0.35">
      <c r="A36" s="101" t="s">
        <v>530</v>
      </c>
      <c r="B36" s="254">
        <v>421343</v>
      </c>
      <c r="C36" s="254">
        <f>Burnie_Fm!B5</f>
        <v>5449106</v>
      </c>
      <c r="D36" s="62">
        <f t="shared" si="0"/>
        <v>421456</v>
      </c>
      <c r="E36" s="62">
        <f t="shared" si="1"/>
        <v>5449290</v>
      </c>
      <c r="F36" s="65" t="s">
        <v>36</v>
      </c>
      <c r="G36" s="63">
        <f>Burnie_Fm!B38</f>
        <v>0.24827586206896551</v>
      </c>
      <c r="H36" s="62">
        <f>MEDIAN(Burnie_Fm!B7:B35)</f>
        <v>0.24</v>
      </c>
      <c r="I36" s="62">
        <f>SMALL(Burnie_Fm!B7:B35,29)</f>
        <v>0.34</v>
      </c>
      <c r="J36" s="62">
        <f>SMALL(Burnie_Fm!B7:B35,1)</f>
        <v>0.13</v>
      </c>
      <c r="K36" s="64">
        <v>29</v>
      </c>
      <c r="L36" s="116" t="str">
        <f>Burnie_Fm!B3</f>
        <v>10/2</v>
      </c>
      <c r="M36" s="133"/>
      <c r="N36" s="133"/>
    </row>
    <row r="37" spans="1:14" s="62" customFormat="1" x14ac:dyDescent="0.35">
      <c r="A37" s="101" t="s">
        <v>530</v>
      </c>
      <c r="B37" s="254">
        <f>Burnie_Fm!C4</f>
        <v>421616</v>
      </c>
      <c r="C37" s="254">
        <f>Burnie_Fm!C5</f>
        <v>5448926</v>
      </c>
      <c r="D37" s="62">
        <f t="shared" si="0"/>
        <v>421729</v>
      </c>
      <c r="E37" s="62">
        <f t="shared" si="1"/>
        <v>5449110</v>
      </c>
      <c r="F37" s="65" t="s">
        <v>36</v>
      </c>
      <c r="G37" s="63">
        <f>Burnie_Fm!C38</f>
        <v>0.11266666666666668</v>
      </c>
      <c r="H37" s="62">
        <f>MEDIAN(Burnie_Fm!C7:C36)</f>
        <v>0.11</v>
      </c>
      <c r="I37" s="62">
        <f>SMALL(Burnie_Fm!C7:C36,30)</f>
        <v>0.25</v>
      </c>
      <c r="J37" s="62">
        <f>SMALL(Burnie_Fm!C7:C36,1)</f>
        <v>0.04</v>
      </c>
      <c r="K37" s="64">
        <v>30</v>
      </c>
      <c r="L37" s="116" t="str">
        <f>Burnie_Fm!C3</f>
        <v>10/2a</v>
      </c>
      <c r="M37" s="133"/>
      <c r="N37" s="133"/>
    </row>
    <row r="38" spans="1:14" s="62" customFormat="1" x14ac:dyDescent="0.35">
      <c r="A38" s="101" t="s">
        <v>530</v>
      </c>
      <c r="B38" s="254">
        <f>Burnie_Fm!D4</f>
        <v>427171</v>
      </c>
      <c r="C38" s="254">
        <f>Burnie_Fm!D5</f>
        <v>5445598</v>
      </c>
      <c r="D38" s="62">
        <f t="shared" si="0"/>
        <v>427284</v>
      </c>
      <c r="E38" s="62">
        <f t="shared" si="1"/>
        <v>5445782</v>
      </c>
      <c r="F38" s="65" t="s">
        <v>36</v>
      </c>
      <c r="G38" s="63">
        <f>Burnie_Fm!D38</f>
        <v>0.15666666666666668</v>
      </c>
      <c r="H38" s="62">
        <f>MEDIAN(Burnie_Fm!D7:D33)</f>
        <v>0.13</v>
      </c>
      <c r="I38" s="62">
        <f>SMALL(Burnie_Fm!D7:D33,27)</f>
        <v>0.28999999999999998</v>
      </c>
      <c r="J38" s="62">
        <f>SMALL(Burnie_Fm!D7:D33,1)</f>
        <v>0.06</v>
      </c>
      <c r="K38" s="64">
        <v>27</v>
      </c>
      <c r="L38" s="116" t="str">
        <f>Burnie_Fm!D3</f>
        <v>20/1</v>
      </c>
      <c r="M38" s="133"/>
      <c r="N38" s="133"/>
    </row>
    <row r="39" spans="1:14" s="62" customFormat="1" x14ac:dyDescent="0.35">
      <c r="A39" s="101" t="s">
        <v>530</v>
      </c>
      <c r="B39" s="254">
        <f>Burnie_Fm!E4</f>
        <v>429089</v>
      </c>
      <c r="C39" s="254">
        <f>Burnie_Fm!E5</f>
        <v>5445087</v>
      </c>
      <c r="D39" s="62">
        <f t="shared" si="0"/>
        <v>429202</v>
      </c>
      <c r="E39" s="62">
        <f t="shared" si="1"/>
        <v>5445271</v>
      </c>
      <c r="F39" s="65" t="s">
        <v>125</v>
      </c>
      <c r="G39" s="63">
        <f>Burnie_Fm!E32</f>
        <v>0.16</v>
      </c>
      <c r="H39" s="62">
        <f>MEDIAN(Burnie_Fm!E7:E30)</f>
        <v>0.15</v>
      </c>
      <c r="I39" s="62">
        <f>SMALL(Burnie_Fm!E7:E30,24)</f>
        <v>0.36</v>
      </c>
      <c r="J39" s="62">
        <f>SMALL(Burnie_Fm!E7:E30,1)</f>
        <v>0.06</v>
      </c>
      <c r="K39" s="64">
        <v>24</v>
      </c>
      <c r="L39" s="116" t="str">
        <f>Burnie_Fm!E3</f>
        <v>22/1</v>
      </c>
      <c r="M39" s="133"/>
      <c r="N39" s="133"/>
    </row>
    <row r="40" spans="1:14" s="62" customFormat="1" x14ac:dyDescent="0.35">
      <c r="A40" s="101" t="s">
        <v>530</v>
      </c>
      <c r="B40" s="254">
        <f>Burnie_Fm!F4</f>
        <v>428904</v>
      </c>
      <c r="C40" s="254">
        <f>Burnie_Fm!F5</f>
        <v>5445208</v>
      </c>
      <c r="D40" s="62">
        <f t="shared" si="0"/>
        <v>429017</v>
      </c>
      <c r="E40" s="62">
        <f t="shared" si="1"/>
        <v>5445392</v>
      </c>
      <c r="F40" s="65" t="s">
        <v>111</v>
      </c>
      <c r="G40" s="63">
        <f>Burnie_Fm!F27</f>
        <v>0.10352941176470591</v>
      </c>
      <c r="H40" s="62">
        <f>MEDIAN(Burnie_Fm!F7:F23)</f>
        <v>0.1</v>
      </c>
      <c r="I40" s="62">
        <f>SMALL(Burnie_Fm!F7:F23,17)</f>
        <v>0.21</v>
      </c>
      <c r="J40" s="62">
        <f>SMALL(Burnie_Fm!F7:F23,1)</f>
        <v>0.04</v>
      </c>
      <c r="K40" s="64">
        <v>17</v>
      </c>
      <c r="L40" s="116" t="str">
        <f>Burnie_Fm!F3</f>
        <v>22/1</v>
      </c>
      <c r="M40" s="133"/>
      <c r="N40" s="133"/>
    </row>
    <row r="41" spans="1:14" s="62" customFormat="1" x14ac:dyDescent="0.35">
      <c r="A41" s="101" t="s">
        <v>530</v>
      </c>
      <c r="B41" s="254">
        <f>Burnie_Fm!G4</f>
        <v>398095</v>
      </c>
      <c r="C41" s="254">
        <f>Burnie_Fm!G5</f>
        <v>5458441</v>
      </c>
      <c r="D41" s="62">
        <f t="shared" si="0"/>
        <v>398208</v>
      </c>
      <c r="E41" s="62">
        <f t="shared" si="1"/>
        <v>5458625</v>
      </c>
      <c r="F41" s="65" t="s">
        <v>448</v>
      </c>
      <c r="G41" s="63">
        <f>Burnie_Fm!G67</f>
        <v>0.11271186440677965</v>
      </c>
      <c r="H41" s="62">
        <f>MEDIAN(Burnie_Fm!G7:G65)</f>
        <v>0.11</v>
      </c>
      <c r="I41" s="62">
        <f>SMALL(Burnie_Fm!G7:G65,59)</f>
        <v>0.22</v>
      </c>
      <c r="J41" s="62">
        <f>SMALL(Burnie_Fm!G7:G65,1)</f>
        <v>0.03</v>
      </c>
      <c r="K41" s="64">
        <v>59</v>
      </c>
      <c r="L41" s="116" t="str">
        <f>Burnie_Fm!G3</f>
        <v>22/3</v>
      </c>
      <c r="M41" s="133" t="s">
        <v>449</v>
      </c>
      <c r="N41" s="133"/>
    </row>
    <row r="42" spans="1:14" s="162" customFormat="1" ht="15" x14ac:dyDescent="0.4">
      <c r="A42" s="161" t="s">
        <v>529</v>
      </c>
      <c r="B42" s="255"/>
      <c r="C42" s="255"/>
      <c r="G42" s="163">
        <f>SUM(G36*K36+G37*K37+G38*K38+G39*K39+G40*K40+G41*K41)/K42</f>
        <v>0.14548387096774193</v>
      </c>
      <c r="H42" s="162">
        <f>MEDIAN(Burnie_Fm!B7:B35,Burnie_Fm!C7:C36,Burnie_Fm!D7:D33,Burnie_Fm!E7:E30,Burnie_Fm!F7:F23,Burnie_Fm!G7:G65)</f>
        <v>0.13</v>
      </c>
      <c r="I42" s="162">
        <v>0.36</v>
      </c>
      <c r="J42" s="162">
        <v>0.03</v>
      </c>
      <c r="K42" s="164">
        <f>SUM(K36:K41)</f>
        <v>186</v>
      </c>
      <c r="L42" s="165"/>
      <c r="M42" s="166"/>
      <c r="N42" s="166"/>
    </row>
    <row r="43" spans="1:14" s="30" customFormat="1" x14ac:dyDescent="0.35">
      <c r="A43" s="103" t="s">
        <v>127</v>
      </c>
      <c r="B43" s="266">
        <f>Mottn_Spil!B4</f>
        <v>423289</v>
      </c>
      <c r="C43" s="266">
        <f>Mottn_Spil!B5</f>
        <v>5447797</v>
      </c>
      <c r="D43" s="30">
        <f t="shared" si="0"/>
        <v>423402</v>
      </c>
      <c r="E43" s="30">
        <f t="shared" si="1"/>
        <v>5447981</v>
      </c>
      <c r="F43" s="33" t="s">
        <v>115</v>
      </c>
      <c r="G43" s="67">
        <f>Mottn_Spil!B113</f>
        <v>10.839142857142859</v>
      </c>
      <c r="H43" s="30">
        <f>MEDIAN(Mottn_Spil!B7:B111)</f>
        <v>0.53</v>
      </c>
      <c r="I43" s="30">
        <f>SMALL(Mottn_Spil!B7:B111,105)</f>
        <v>336</v>
      </c>
      <c r="J43" s="30">
        <f>SMALL(Mottn_Spil!B7:B111,1)</f>
        <v>0.1</v>
      </c>
      <c r="K43" s="68">
        <v>105</v>
      </c>
      <c r="L43" s="118" t="str">
        <f>Mottn_Spil!B3</f>
        <v>7/3</v>
      </c>
      <c r="M43" s="135" t="s">
        <v>416</v>
      </c>
      <c r="N43" s="135"/>
    </row>
    <row r="44" spans="1:14" s="30" customFormat="1" x14ac:dyDescent="0.35">
      <c r="A44" s="103" t="s">
        <v>127</v>
      </c>
      <c r="B44" s="266">
        <f>Mottn_Spil!C4</f>
        <v>424964</v>
      </c>
      <c r="C44" s="266">
        <f>Mottn_Spil!C5</f>
        <v>5447298</v>
      </c>
      <c r="D44" s="30">
        <f t="shared" si="0"/>
        <v>425077</v>
      </c>
      <c r="E44" s="30">
        <f t="shared" si="1"/>
        <v>5447482</v>
      </c>
      <c r="F44" s="33" t="s">
        <v>115</v>
      </c>
      <c r="G44" s="67">
        <f>Mottn_Spil!C45</f>
        <v>22.292972972972972</v>
      </c>
      <c r="H44" s="30">
        <f>MEDIAN(Mottn_Spil!C7:C43)</f>
        <v>22.1</v>
      </c>
      <c r="I44" s="30">
        <f>SMALL(Mottn_Spil!C7:C43,37)</f>
        <v>60.6</v>
      </c>
      <c r="J44" s="30">
        <f>SMALL(Mottn_Spil!C7:C43,1)</f>
        <v>0.69</v>
      </c>
      <c r="K44" s="68">
        <v>37</v>
      </c>
      <c r="L44" s="118" t="str">
        <f>Mottn_Spil!C3</f>
        <v>20/2</v>
      </c>
      <c r="M44" s="135"/>
      <c r="N44" s="135"/>
    </row>
    <row r="45" spans="1:14" s="30" customFormat="1" x14ac:dyDescent="0.35">
      <c r="A45" s="103" t="s">
        <v>127</v>
      </c>
      <c r="B45" s="266">
        <f>Mottn_Spil!D4</f>
        <v>425325</v>
      </c>
      <c r="C45" s="266">
        <f>Mottn_Spil!D5</f>
        <v>5447261</v>
      </c>
      <c r="D45" s="30">
        <f t="shared" si="0"/>
        <v>425438</v>
      </c>
      <c r="E45" s="30">
        <f t="shared" si="1"/>
        <v>5447445</v>
      </c>
      <c r="F45" s="33" t="s">
        <v>115</v>
      </c>
      <c r="G45" s="67">
        <f>Mottn_Spil!D67</f>
        <v>21.743220338983051</v>
      </c>
      <c r="H45" s="30">
        <f>MEDIAN(Mottn_Spil!D7:D65)</f>
        <v>21.4</v>
      </c>
      <c r="I45" s="30">
        <f>SMALL(Mottn_Spil!D7:D65,59)</f>
        <v>42.6</v>
      </c>
      <c r="J45" s="30">
        <f>SMALL(Mottn_Spil!D7:D65,1)</f>
        <v>8.6199999999999992</v>
      </c>
      <c r="K45" s="68">
        <v>59</v>
      </c>
      <c r="L45" s="118" t="str">
        <f>Mottn_Spil!D3</f>
        <v>21/2</v>
      </c>
      <c r="M45" s="135"/>
      <c r="N45" s="135"/>
    </row>
    <row r="46" spans="1:14" s="30" customFormat="1" x14ac:dyDescent="0.35">
      <c r="A46" s="103" t="s">
        <v>127</v>
      </c>
      <c r="B46" s="266">
        <f>Mottn_Spil!F4</f>
        <v>424130</v>
      </c>
      <c r="C46" s="266">
        <f>Mottn_Spil!F5</f>
        <v>5447561</v>
      </c>
      <c r="D46" s="30">
        <f t="shared" si="0"/>
        <v>424243</v>
      </c>
      <c r="E46" s="30">
        <f t="shared" si="1"/>
        <v>5447745</v>
      </c>
      <c r="F46" s="33" t="s">
        <v>128</v>
      </c>
      <c r="G46" s="67">
        <f>Mottn_Spil!F23</f>
        <v>0.17266666666666669</v>
      </c>
      <c r="H46" s="30">
        <f>MEDIAN(Mottn_Spil!F7:F21)</f>
        <v>0.18</v>
      </c>
      <c r="I46" s="30">
        <f>SMALL(Mottn_Spil!F7:F21,15)</f>
        <v>0.22</v>
      </c>
      <c r="J46" s="30">
        <f>SMALL(Mottn_Spil!F7:F21,1)</f>
        <v>0.1</v>
      </c>
      <c r="K46" s="68">
        <v>15</v>
      </c>
      <c r="L46" s="118" t="str">
        <f>Mottn_Spil!F3</f>
        <v>21/1</v>
      </c>
      <c r="M46" s="135" t="s">
        <v>443</v>
      </c>
      <c r="N46" s="135"/>
    </row>
    <row r="47" spans="1:14" s="30" customFormat="1" x14ac:dyDescent="0.35">
      <c r="A47" s="103" t="s">
        <v>127</v>
      </c>
      <c r="B47" s="266">
        <f>Mottn_Spil!H4</f>
        <v>426583</v>
      </c>
      <c r="C47" s="266">
        <f>Mottn_Spil!H5</f>
        <v>5446437</v>
      </c>
      <c r="D47" s="30">
        <f t="shared" si="0"/>
        <v>426696</v>
      </c>
      <c r="E47" s="30">
        <f t="shared" si="1"/>
        <v>5446621</v>
      </c>
      <c r="F47" s="33" t="s">
        <v>129</v>
      </c>
      <c r="G47" s="67">
        <f>Mottn_Spil!H27</f>
        <v>7.789473684210528E-2</v>
      </c>
      <c r="H47" s="30">
        <f>MEDIAN(Mottn_Spil!H7:H25)</f>
        <v>7.0000000000000007E-2</v>
      </c>
      <c r="I47" s="30">
        <f>SMALL(Mottn_Spil!H7:H25,19)</f>
        <v>0.21</v>
      </c>
      <c r="J47" s="30">
        <f>SMALL(Mottn_Spil!H7:H25,1)</f>
        <v>0.02</v>
      </c>
      <c r="K47" s="68">
        <v>19</v>
      </c>
      <c r="L47" s="118" t="str">
        <f>Mottn_Spil!H3</f>
        <v>21/3</v>
      </c>
      <c r="M47" s="135"/>
      <c r="N47" s="135"/>
    </row>
    <row r="48" spans="1:14" s="195" customFormat="1" ht="13.15" x14ac:dyDescent="0.4">
      <c r="A48" s="194" t="s">
        <v>526</v>
      </c>
      <c r="B48" s="260"/>
      <c r="C48" s="260"/>
      <c r="G48" s="196">
        <f>SUM(G43*K43+G46*K46+G47*K47)/SUM(K43+K46+K47)</f>
        <v>8.2171223021582733</v>
      </c>
      <c r="H48" s="195">
        <f>MEDIAN(Mottn_Spil!B7:B111,Mottn_Spil!F7:F21,Mottn_Spil!H7:H25)</f>
        <v>0.31</v>
      </c>
      <c r="I48" s="195">
        <v>336</v>
      </c>
      <c r="J48" s="195">
        <v>0.02</v>
      </c>
      <c r="K48" s="197">
        <f>SUM(K43+K46+K47)</f>
        <v>139</v>
      </c>
      <c r="L48" s="198"/>
      <c r="M48" s="199"/>
      <c r="N48" s="199"/>
    </row>
    <row r="49" spans="1:14" s="195" customFormat="1" ht="13.15" x14ac:dyDescent="0.4">
      <c r="A49" s="194" t="s">
        <v>527</v>
      </c>
      <c r="B49" s="260"/>
      <c r="C49" s="260"/>
      <c r="G49" s="196">
        <f>SUM(G44*K44+G45*K45)/K49</f>
        <v>21.955104166666661</v>
      </c>
      <c r="H49" s="195">
        <f>MEDIAN(Mottn_Spil!C7:C43,Mottn_Spil!D7:D65)</f>
        <v>21.7</v>
      </c>
      <c r="I49" s="195">
        <v>60.6</v>
      </c>
      <c r="J49" s="195">
        <v>0.69</v>
      </c>
      <c r="K49" s="197">
        <f>SUM(K44+K45)</f>
        <v>96</v>
      </c>
      <c r="L49" s="198"/>
      <c r="M49" s="199"/>
      <c r="N49" s="199"/>
    </row>
    <row r="50" spans="1:14" s="201" customFormat="1" ht="15" x14ac:dyDescent="0.4">
      <c r="A50" s="200" t="s">
        <v>528</v>
      </c>
      <c r="B50" s="260"/>
      <c r="C50" s="260"/>
      <c r="G50" s="202">
        <f>SUM(G48*K48+G49*K49)/K50</f>
        <v>13.829234042553191</v>
      </c>
      <c r="H50" s="201">
        <f>MEDIAN(Mottn_Spil!B7:B111,Mottn_Spil!C7:C43,Mottn_Spil!D7:D65,Mottn_Spil!F7:F21,Mottn_Spil!H7:H25)</f>
        <v>8.6</v>
      </c>
      <c r="I50" s="201">
        <v>336</v>
      </c>
      <c r="J50" s="201">
        <v>0.02</v>
      </c>
      <c r="K50" s="203">
        <f>SUM(K43:K47)</f>
        <v>235</v>
      </c>
      <c r="L50" s="204"/>
      <c r="M50" s="205"/>
      <c r="N50" s="205"/>
    </row>
    <row r="51" spans="1:14" s="173" customFormat="1" ht="15" x14ac:dyDescent="0.4">
      <c r="A51" s="172" t="s">
        <v>445</v>
      </c>
      <c r="B51" s="258">
        <v>426583</v>
      </c>
      <c r="C51" s="258">
        <v>5446437</v>
      </c>
      <c r="D51" s="173">
        <f t="shared" si="0"/>
        <v>426696</v>
      </c>
      <c r="E51" s="173">
        <f t="shared" si="1"/>
        <v>5446621</v>
      </c>
      <c r="F51" s="173" t="s">
        <v>446</v>
      </c>
      <c r="G51" s="174">
        <f>AVERAGE(NeoP_Sed!E10:E26)</f>
        <v>9.4117647058823539E-3</v>
      </c>
      <c r="H51" s="173">
        <f>MEDIAN(NeoP_Sed!E10:E26)</f>
        <v>0</v>
      </c>
      <c r="I51" s="173">
        <f>SMALL(NeoP_Sed!E10:E26,17)</f>
        <v>0.03</v>
      </c>
      <c r="J51" s="173">
        <f>SMALL(NeoP_Sed!E10:E26,1)</f>
        <v>0</v>
      </c>
      <c r="K51" s="175">
        <v>17</v>
      </c>
      <c r="L51" s="117" t="s">
        <v>85</v>
      </c>
      <c r="M51" s="134" t="s">
        <v>447</v>
      </c>
      <c r="N51" s="176"/>
    </row>
    <row r="52" spans="1:14" s="212" customFormat="1" ht="15" x14ac:dyDescent="0.4">
      <c r="A52" s="211" t="s">
        <v>130</v>
      </c>
      <c r="B52" s="268">
        <f>Owen_Cong!B4</f>
        <v>422044</v>
      </c>
      <c r="C52" s="268">
        <f>Owen_Cong!B5</f>
        <v>5448127</v>
      </c>
      <c r="D52" s="212">
        <f t="shared" si="0"/>
        <v>422157</v>
      </c>
      <c r="E52" s="212">
        <f t="shared" si="1"/>
        <v>5448311</v>
      </c>
      <c r="F52" s="212" t="s">
        <v>111</v>
      </c>
      <c r="G52" s="213">
        <f>Owen_Cong!B21</f>
        <v>0.10250000000000002</v>
      </c>
      <c r="H52" s="213">
        <f>MEDIAN(Owen_Cong!B7:B18)</f>
        <v>9.5000000000000001E-2</v>
      </c>
      <c r="I52" s="212">
        <f>SMALL(Owen_Cong!B7:B18,12)</f>
        <v>0.25</v>
      </c>
      <c r="J52" s="212">
        <f>SMALL(Owen_Cong!B7:B18,1)</f>
        <v>0.02</v>
      </c>
      <c r="K52" s="214">
        <v>12</v>
      </c>
      <c r="L52" s="121" t="str">
        <f>Owen_Cong!B3</f>
        <v>7/4</v>
      </c>
      <c r="M52" s="215"/>
      <c r="N52" s="215"/>
    </row>
    <row r="53" spans="1:14" s="218" customFormat="1" ht="15" x14ac:dyDescent="0.4">
      <c r="A53" s="216" t="s">
        <v>131</v>
      </c>
      <c r="B53" s="217">
        <f>Moina_Sst!C4</f>
        <v>421343</v>
      </c>
      <c r="C53" s="217">
        <f>Moina_Sst!C5</f>
        <v>5449106</v>
      </c>
      <c r="D53" s="218">
        <f t="shared" si="0"/>
        <v>421456</v>
      </c>
      <c r="E53" s="218">
        <f t="shared" si="1"/>
        <v>5449290</v>
      </c>
      <c r="F53" s="218" t="s">
        <v>132</v>
      </c>
      <c r="G53" s="219">
        <f>Moina_Sst!C19</f>
        <v>5.5555555555555552E-2</v>
      </c>
      <c r="H53" s="218">
        <f>MEDIAN(Moina_Sst!C9:C17)</f>
        <v>0.04</v>
      </c>
      <c r="I53" s="218">
        <f>SMALL(Moina_Sst!C9:C17,9)</f>
        <v>0.11</v>
      </c>
      <c r="J53" s="218">
        <f>SMALL(Moina_Sst!C9:C17,1)</f>
        <v>0.03</v>
      </c>
      <c r="K53" s="220">
        <v>9</v>
      </c>
      <c r="L53" s="124" t="str">
        <f>Moina_Sst!C3</f>
        <v>10/2</v>
      </c>
      <c r="M53" s="221"/>
      <c r="N53" s="221"/>
    </row>
    <row r="54" spans="1:14" s="25" customFormat="1" x14ac:dyDescent="0.35">
      <c r="A54" s="107" t="s">
        <v>144</v>
      </c>
      <c r="B54" s="269">
        <f>Moina_Sst!$D$4</f>
        <v>484200</v>
      </c>
      <c r="C54" s="269">
        <f>Moina_Sst!$D$5</f>
        <v>5438700</v>
      </c>
      <c r="D54" s="25">
        <f t="shared" si="0"/>
        <v>484313</v>
      </c>
      <c r="E54" s="25">
        <f t="shared" si="1"/>
        <v>5438884</v>
      </c>
      <c r="F54" s="77" t="s">
        <v>132</v>
      </c>
      <c r="G54" s="78">
        <f>AVERAGE(Moina_Sst!D9:D24)</f>
        <v>0.11875000000000002</v>
      </c>
      <c r="H54" s="25">
        <f>MEDIAN(Moina_Sst!D9:D24)</f>
        <v>0.125</v>
      </c>
      <c r="I54" s="25">
        <f>SMALL(Moina_Sst!D9:D24,16)</f>
        <v>0.18</v>
      </c>
      <c r="J54" s="25">
        <f>SMALL(Moina_Sst!D9:D24,1)</f>
        <v>0.04</v>
      </c>
      <c r="K54" s="79">
        <v>16</v>
      </c>
      <c r="L54" s="125" t="s">
        <v>96</v>
      </c>
      <c r="M54" s="140"/>
      <c r="N54" s="140"/>
    </row>
    <row r="55" spans="1:14" s="25" customFormat="1" x14ac:dyDescent="0.35">
      <c r="A55" s="107" t="s">
        <v>144</v>
      </c>
      <c r="B55" s="269">
        <f>Moina_Sst!$D$4</f>
        <v>484200</v>
      </c>
      <c r="C55" s="269">
        <f>Moina_Sst!$D$5</f>
        <v>5438700</v>
      </c>
      <c r="D55" s="25">
        <f t="shared" si="0"/>
        <v>484313</v>
      </c>
      <c r="E55" s="25">
        <f t="shared" si="1"/>
        <v>5438884</v>
      </c>
      <c r="F55" s="77" t="s">
        <v>111</v>
      </c>
      <c r="G55" s="78">
        <f>AVERAGE(Moina_Sst!D25:D76)</f>
        <v>6.9615384615384607E-2</v>
      </c>
      <c r="H55" s="25">
        <f>MEDIAN(Moina_Sst!D25:D76)</f>
        <v>4.4999999999999998E-2</v>
      </c>
      <c r="I55" s="25">
        <f>SMALL(Moina_Sst!D25:D76,52)</f>
        <v>0.41</v>
      </c>
      <c r="J55" s="25">
        <f>SMALL(Moina_Sst!D25:D76,1)</f>
        <v>0.01</v>
      </c>
      <c r="K55" s="79">
        <v>52</v>
      </c>
      <c r="L55" s="125" t="s">
        <v>96</v>
      </c>
      <c r="M55" s="140"/>
      <c r="N55" s="140"/>
    </row>
    <row r="56" spans="1:14" s="25" customFormat="1" x14ac:dyDescent="0.35">
      <c r="A56" s="107" t="s">
        <v>144</v>
      </c>
      <c r="B56" s="269">
        <f>Moina_Sst!$D$4</f>
        <v>484200</v>
      </c>
      <c r="C56" s="269">
        <f>Moina_Sst!$D$5</f>
        <v>5438700</v>
      </c>
      <c r="D56" s="25">
        <f t="shared" si="0"/>
        <v>484313</v>
      </c>
      <c r="E56" s="25">
        <f t="shared" si="1"/>
        <v>5438884</v>
      </c>
      <c r="F56" s="77" t="s">
        <v>132</v>
      </c>
      <c r="G56" s="78">
        <f>AVERAGE(Moina_Sst!D77:D82)</f>
        <v>0.155</v>
      </c>
      <c r="H56" s="25">
        <f>MEDIAN(Moina_Sst!D77:D82)</f>
        <v>0.14000000000000001</v>
      </c>
      <c r="I56" s="25">
        <f>SMALL(Moina_Sst!D77:D82,6)</f>
        <v>0.26</v>
      </c>
      <c r="J56" s="25">
        <f>SMALL(Moina_Sst!D77:D82,1)</f>
        <v>7.0000000000000007E-2</v>
      </c>
      <c r="K56" s="79">
        <v>6</v>
      </c>
      <c r="L56" s="125" t="s">
        <v>96</v>
      </c>
      <c r="M56" s="140"/>
      <c r="N56" s="140"/>
    </row>
    <row r="57" spans="1:14" s="233" customFormat="1" ht="15" x14ac:dyDescent="0.4">
      <c r="A57" s="232" t="s">
        <v>144</v>
      </c>
      <c r="B57" s="270"/>
      <c r="C57" s="270"/>
      <c r="G57" s="234">
        <f>SUM(G54*K54+G55*K55+G56*K56)/K57</f>
        <v>8.7162162162162146E-2</v>
      </c>
      <c r="H57" s="234">
        <f>MEDIAN(Moina_Sst!F9:F82)</f>
        <v>8.0000000000000016E-2</v>
      </c>
      <c r="I57" s="233">
        <v>0.41</v>
      </c>
      <c r="J57" s="233">
        <v>0.01</v>
      </c>
      <c r="K57" s="235">
        <f>SUM(K54:K56)</f>
        <v>74</v>
      </c>
      <c r="L57" s="236"/>
      <c r="M57" s="237"/>
      <c r="N57" s="237"/>
    </row>
    <row r="58" spans="1:14" s="62" customFormat="1" x14ac:dyDescent="0.35">
      <c r="A58" s="101" t="s">
        <v>133</v>
      </c>
      <c r="B58" s="254">
        <f>Forth_Mm!B4</f>
        <v>436439</v>
      </c>
      <c r="C58" s="254">
        <f>Forth_Mm!B5</f>
        <v>5438581</v>
      </c>
      <c r="D58" s="62">
        <f t="shared" si="0"/>
        <v>436552</v>
      </c>
      <c r="E58" s="62">
        <f t="shared" si="1"/>
        <v>5438765</v>
      </c>
      <c r="F58" s="65" t="s">
        <v>27</v>
      </c>
      <c r="G58" s="63">
        <f>Forth_Mm!B21</f>
        <v>3.6363636363636369E-2</v>
      </c>
      <c r="H58" s="63">
        <f>MEDIAN(Forth_Mm!B8:B18)</f>
        <v>3.5000000000000003E-2</v>
      </c>
      <c r="I58" s="62">
        <f>SMALL(Forth_Mm!B9:B18,10)</f>
        <v>7.0000000000000007E-2</v>
      </c>
      <c r="J58" s="62">
        <f>SMALL(Forth_Mm!B8:B18,1)</f>
        <v>0.02</v>
      </c>
      <c r="K58" s="64">
        <v>11</v>
      </c>
      <c r="L58" s="116" t="str">
        <f>Forth_Mm!B3</f>
        <v>7/5</v>
      </c>
      <c r="M58" s="133"/>
      <c r="N58" s="133"/>
    </row>
    <row r="59" spans="1:14" s="62" customFormat="1" x14ac:dyDescent="0.35">
      <c r="A59" s="101" t="s">
        <v>133</v>
      </c>
      <c r="B59" s="254">
        <f>Forth_Mm!C4</f>
        <v>436779</v>
      </c>
      <c r="C59" s="254">
        <f>Forth_Mm!C5</f>
        <v>5439444</v>
      </c>
      <c r="D59" s="62">
        <f t="shared" si="0"/>
        <v>436892</v>
      </c>
      <c r="E59" s="62">
        <f t="shared" si="1"/>
        <v>5439628</v>
      </c>
      <c r="F59" s="65" t="s">
        <v>27</v>
      </c>
      <c r="G59" s="63">
        <f>Forth_Mm!C21</f>
        <v>0.03</v>
      </c>
      <c r="H59" s="63">
        <f>MEDIAN(Forth_Mm!C8:C11)</f>
        <v>2.5000000000000001E-2</v>
      </c>
      <c r="I59" s="62">
        <f>SMALL(Forth_Mm!C8:C11,4)</f>
        <v>0.06</v>
      </c>
      <c r="J59" s="62">
        <f>SMALL(Forth_Mm!C8:C11,1)</f>
        <v>0.01</v>
      </c>
      <c r="K59" s="64">
        <v>4</v>
      </c>
      <c r="L59" s="116" t="str">
        <f>Forth_Mm!C3</f>
        <v>7/6</v>
      </c>
      <c r="M59" s="133"/>
      <c r="N59" s="133"/>
    </row>
    <row r="60" spans="1:14" s="62" customFormat="1" x14ac:dyDescent="0.35">
      <c r="A60" s="101" t="s">
        <v>133</v>
      </c>
      <c r="B60" s="254">
        <f>Forth_Mm!D4</f>
        <v>430832</v>
      </c>
      <c r="C60" s="254">
        <f>Forth_Mm!D5</f>
        <v>5444176</v>
      </c>
      <c r="D60" s="62">
        <f t="shared" si="0"/>
        <v>430945</v>
      </c>
      <c r="E60" s="62">
        <f t="shared" si="1"/>
        <v>5444360</v>
      </c>
      <c r="F60" s="65" t="s">
        <v>119</v>
      </c>
      <c r="G60" s="63">
        <f>Forth_Mm!D111</f>
        <v>0.31922330097087381</v>
      </c>
      <c r="H60" s="62">
        <f>MEDIAN(Forth_Mm!D7:D109)</f>
        <v>0.14000000000000001</v>
      </c>
      <c r="I60" s="62">
        <f>SMALL(Forth_Mm!D7:D109,103)</f>
        <v>11.9</v>
      </c>
      <c r="J60" s="62">
        <f>SMALL(Forth_Mm!D7:D109,1)</f>
        <v>0.04</v>
      </c>
      <c r="K60" s="64">
        <v>103</v>
      </c>
      <c r="L60" s="116" t="str">
        <f>Forth_Mm!D3</f>
        <v>9/2</v>
      </c>
      <c r="M60" s="133" t="s">
        <v>420</v>
      </c>
      <c r="N60" s="133"/>
    </row>
    <row r="61" spans="1:14" s="62" customFormat="1" x14ac:dyDescent="0.35">
      <c r="A61" s="101" t="s">
        <v>133</v>
      </c>
      <c r="B61" s="254">
        <f>Forth_Mm!E4</f>
        <v>430832</v>
      </c>
      <c r="C61" s="254">
        <f>Forth_Mm!E5</f>
        <v>5444176</v>
      </c>
      <c r="D61" s="62">
        <f t="shared" si="0"/>
        <v>430945</v>
      </c>
      <c r="E61" s="62">
        <f t="shared" si="1"/>
        <v>5444360</v>
      </c>
      <c r="F61" s="65" t="s">
        <v>36</v>
      </c>
      <c r="G61" s="63">
        <f>Forth_Mm!E21</f>
        <v>5.000000000000001E-2</v>
      </c>
      <c r="H61" s="62">
        <f>MEDIAN(Forth_Mm!E7:E19)</f>
        <v>0.05</v>
      </c>
      <c r="I61" s="62">
        <f>SMALL(Forth_Mm!E7:E19,13)</f>
        <v>7.0000000000000007E-2</v>
      </c>
      <c r="J61" s="62">
        <f>SMALL(Forth_Mm!E7:E19,1)</f>
        <v>0.03</v>
      </c>
      <c r="K61" s="64">
        <v>13</v>
      </c>
      <c r="L61" s="116" t="str">
        <f>Forth_Mm!D3</f>
        <v>9/2</v>
      </c>
      <c r="M61" s="133"/>
      <c r="N61" s="133"/>
    </row>
    <row r="62" spans="1:14" s="62" customFormat="1" x14ac:dyDescent="0.35">
      <c r="A62" s="101" t="s">
        <v>133</v>
      </c>
      <c r="B62" s="254">
        <f>Forth_Mm!F4</f>
        <v>434853</v>
      </c>
      <c r="C62" s="254">
        <f>Forth_Mm!F5</f>
        <v>5443204</v>
      </c>
      <c r="D62" s="62">
        <f t="shared" si="0"/>
        <v>434966</v>
      </c>
      <c r="E62" s="62">
        <f t="shared" si="1"/>
        <v>5443388</v>
      </c>
      <c r="F62" s="65" t="s">
        <v>134</v>
      </c>
      <c r="G62" s="63">
        <f>Forth_Mm!F66</f>
        <v>0.1320689655172414</v>
      </c>
      <c r="H62" s="62">
        <f>MEDIAN(Forth_Mm!F7:F64)</f>
        <v>0.12</v>
      </c>
      <c r="I62" s="62">
        <f>SMALL(Forth_Mm!F7:F64,58)</f>
        <v>0.5</v>
      </c>
      <c r="J62" s="62">
        <f>SMALL(Forth_Mm!F7:F64,1)</f>
        <v>0.06</v>
      </c>
      <c r="K62" s="64">
        <v>58</v>
      </c>
      <c r="L62" s="116" t="str">
        <f>Forth_Mm!F3</f>
        <v>9/3</v>
      </c>
      <c r="M62" s="133" t="s">
        <v>422</v>
      </c>
      <c r="N62" s="133"/>
    </row>
    <row r="63" spans="1:14" s="162" customFormat="1" ht="15" x14ac:dyDescent="0.4">
      <c r="A63" s="161" t="s">
        <v>133</v>
      </c>
      <c r="B63" s="255"/>
      <c r="C63" s="255"/>
      <c r="G63" s="163">
        <f>SUM(G58*K58+G59*K59+G60*K60+G61*K61+G62*K62)/K63</f>
        <v>0.22068783068783074</v>
      </c>
      <c r="H63" s="162">
        <f>MEDIAN(Forth_Mm!B9:B18,Forth_Mm!C8:C11,Forth_Mm!D7:D109,Forth_Mm!E7:E19,Forth_Mm!F7:F64)</f>
        <v>0.12</v>
      </c>
      <c r="I63" s="162">
        <v>11.9</v>
      </c>
      <c r="J63" s="162">
        <v>0.01</v>
      </c>
      <c r="K63" s="164">
        <f>SUM(K58:K62)</f>
        <v>189</v>
      </c>
      <c r="L63" s="165"/>
      <c r="M63" s="166"/>
      <c r="N63" s="166"/>
    </row>
    <row r="64" spans="1:14" s="84" customFormat="1" x14ac:dyDescent="0.35">
      <c r="A64" s="108" t="s">
        <v>137</v>
      </c>
      <c r="B64" s="271">
        <f>Serp!B4</f>
        <v>436439</v>
      </c>
      <c r="C64" s="271">
        <f>Serp!B5</f>
        <v>5438581</v>
      </c>
      <c r="D64" s="84">
        <f t="shared" si="0"/>
        <v>436552</v>
      </c>
      <c r="E64" s="84">
        <f t="shared" si="1"/>
        <v>5438765</v>
      </c>
      <c r="F64" s="84" t="s">
        <v>135</v>
      </c>
      <c r="G64" s="223">
        <f>Serp!B94</f>
        <v>35.203139534883711</v>
      </c>
      <c r="H64" s="230">
        <f>MEDIAN(Serp!B7:B92)</f>
        <v>32.049999999999997</v>
      </c>
      <c r="I64" s="84">
        <f>SMALL(Serp!B7:B92,86)</f>
        <v>112</v>
      </c>
      <c r="J64" s="84">
        <f>SMALL(Serp!B7:B92,1)</f>
        <v>8.77</v>
      </c>
      <c r="K64" s="222">
        <v>86</v>
      </c>
      <c r="L64" s="126" t="str">
        <f>Serp!B3</f>
        <v>7/5</v>
      </c>
      <c r="M64" s="141" t="s">
        <v>417</v>
      </c>
      <c r="N64" s="141"/>
    </row>
    <row r="65" spans="1:14" s="19" customFormat="1" x14ac:dyDescent="0.35">
      <c r="A65" s="104" t="s">
        <v>140</v>
      </c>
      <c r="B65" s="272">
        <f>Serp!C4</f>
        <v>480062</v>
      </c>
      <c r="C65" s="272">
        <f>Serp!C5</f>
        <v>5440120</v>
      </c>
      <c r="D65" s="19">
        <f t="shared" si="0"/>
        <v>480175</v>
      </c>
      <c r="E65" s="19">
        <f t="shared" si="1"/>
        <v>5440304</v>
      </c>
      <c r="F65" s="31" t="s">
        <v>136</v>
      </c>
      <c r="G65" s="20">
        <f>Serp!C26</f>
        <v>10.317857142857145</v>
      </c>
      <c r="H65" s="20">
        <f>MEDIAN(Serp!C7:C20)</f>
        <v>8.6549999999999994</v>
      </c>
      <c r="I65" s="19">
        <f>SMALL(Serp!C7:C20,14)</f>
        <v>26.6</v>
      </c>
      <c r="J65" s="20">
        <f>SMALL(Serp!C7:C20,1)</f>
        <v>0.5</v>
      </c>
      <c r="K65" s="21">
        <v>14</v>
      </c>
      <c r="L65" s="119" t="s">
        <v>57</v>
      </c>
      <c r="M65" s="136" t="s">
        <v>431</v>
      </c>
      <c r="N65" s="136"/>
    </row>
    <row r="66" spans="1:14" s="19" customFormat="1" x14ac:dyDescent="0.35">
      <c r="A66" s="104" t="s">
        <v>140</v>
      </c>
      <c r="B66" s="272">
        <f>Serp!D4</f>
        <v>479731</v>
      </c>
      <c r="C66" s="272">
        <f>Serp!D5</f>
        <v>5439155</v>
      </c>
      <c r="D66" s="19">
        <f t="shared" si="0"/>
        <v>479844</v>
      </c>
      <c r="E66" s="19">
        <f t="shared" si="1"/>
        <v>5439339</v>
      </c>
      <c r="F66" s="31" t="s">
        <v>136</v>
      </c>
      <c r="G66" s="20">
        <f>Serp!D26</f>
        <v>39.149333333333331</v>
      </c>
      <c r="H66" s="19">
        <f>MEDIAN(Serp!D7:D21)</f>
        <v>35.299999999999997</v>
      </c>
      <c r="I66" s="19">
        <f>SMALL(Serp!D7:D21,15)</f>
        <v>131</v>
      </c>
      <c r="J66" s="19">
        <f>SMALL(Serp!D7:D21,1)</f>
        <v>6.61</v>
      </c>
      <c r="K66" s="21">
        <v>15</v>
      </c>
      <c r="L66" s="119" t="s">
        <v>58</v>
      </c>
      <c r="M66" s="136"/>
      <c r="N66" s="136"/>
    </row>
    <row r="67" spans="1:14" s="86" customFormat="1" x14ac:dyDescent="0.35">
      <c r="A67" s="109" t="s">
        <v>138</v>
      </c>
      <c r="B67" s="273">
        <f>Serp!E4</f>
        <v>359285</v>
      </c>
      <c r="C67" s="273">
        <f>Serp!E5</f>
        <v>5407291</v>
      </c>
      <c r="D67" s="86">
        <f t="shared" si="0"/>
        <v>359398</v>
      </c>
      <c r="E67" s="86">
        <f t="shared" si="1"/>
        <v>5407475</v>
      </c>
      <c r="F67" s="85" t="s">
        <v>139</v>
      </c>
      <c r="G67" s="87">
        <f>Serp!E110</f>
        <v>46.074901960784317</v>
      </c>
      <c r="H67" s="231">
        <f>MEDIAN(Serp!E7:E108)</f>
        <v>41.55</v>
      </c>
      <c r="I67" s="86">
        <f>SMALL(Serp!E7:E108,102)</f>
        <v>336</v>
      </c>
      <c r="J67" s="86">
        <f>SMALL(Serp!E7:E108,1)</f>
        <v>0.43</v>
      </c>
      <c r="K67" s="88">
        <v>102</v>
      </c>
      <c r="L67" s="127" t="s">
        <v>450</v>
      </c>
      <c r="M67" s="142" t="s">
        <v>453</v>
      </c>
      <c r="N67" s="142"/>
    </row>
    <row r="68" spans="1:14" s="86" customFormat="1" x14ac:dyDescent="0.35">
      <c r="A68" s="109" t="s">
        <v>138</v>
      </c>
      <c r="B68" s="273">
        <f>Serp!F4</f>
        <v>355666</v>
      </c>
      <c r="C68" s="273">
        <f>Serp!F5</f>
        <v>5407141</v>
      </c>
      <c r="D68" s="86">
        <f t="shared" si="0"/>
        <v>355779</v>
      </c>
      <c r="E68" s="86">
        <f t="shared" si="1"/>
        <v>5407325</v>
      </c>
      <c r="F68" s="85" t="s">
        <v>139</v>
      </c>
      <c r="G68" s="87">
        <f>Serp!F47</f>
        <v>1.9007692307692305</v>
      </c>
      <c r="H68" s="86">
        <f>MEDIAN(Serp!F7:F45)</f>
        <v>1.37</v>
      </c>
      <c r="I68" s="86">
        <f>SMALL(Serp!F7:F45,39)</f>
        <v>8.09</v>
      </c>
      <c r="J68" s="86">
        <f>SMALL(Serp!F7:F45,1)</f>
        <v>0.55000000000000004</v>
      </c>
      <c r="K68" s="88">
        <v>39</v>
      </c>
      <c r="L68" s="127" t="s">
        <v>451</v>
      </c>
      <c r="M68" s="142"/>
      <c r="N68" s="142"/>
    </row>
    <row r="69" spans="1:14" s="86" customFormat="1" x14ac:dyDescent="0.35">
      <c r="A69" s="109" t="s">
        <v>138</v>
      </c>
      <c r="B69" s="273">
        <f>Serp!G4</f>
        <v>358575</v>
      </c>
      <c r="C69" s="273">
        <f>Serp!G5</f>
        <v>5407355</v>
      </c>
      <c r="D69" s="86">
        <f t="shared" si="0"/>
        <v>358688</v>
      </c>
      <c r="E69" s="86">
        <f t="shared" si="1"/>
        <v>5407539</v>
      </c>
      <c r="F69" s="85" t="s">
        <v>141</v>
      </c>
      <c r="G69" s="87">
        <f>Serp!G32</f>
        <v>11.227916666666665</v>
      </c>
      <c r="H69" s="87">
        <f>MEDIAN(Serp!G7:G30)</f>
        <v>6.9350000000000005</v>
      </c>
      <c r="I69" s="86">
        <f>SMALL(Serp!G7:G30,24)</f>
        <v>47.6</v>
      </c>
      <c r="J69" s="86">
        <f>SMALL(Serp!G7:G30,1)</f>
        <v>0.45</v>
      </c>
      <c r="K69" s="88">
        <v>24</v>
      </c>
      <c r="L69" s="127" t="s">
        <v>452</v>
      </c>
      <c r="M69" s="142"/>
      <c r="N69" s="142"/>
    </row>
    <row r="70" spans="1:14" s="225" customFormat="1" ht="15" x14ac:dyDescent="0.4">
      <c r="A70" s="224" t="s">
        <v>522</v>
      </c>
      <c r="B70" s="274"/>
      <c r="C70" s="274"/>
      <c r="G70" s="239">
        <f>SUM(G64*K64+G65*K65+G66*K66+G67*K67+G68*K68+G69*K69)/K70</f>
        <v>31.437142857142849</v>
      </c>
      <c r="H70" s="239">
        <f>MEDIAN(Serp!B7:B92,Serp!C7:C20,Serp!D7:D21,Serp!E7:E108,Serp!F7:F45,Serp!G7:G30)</f>
        <v>25.75</v>
      </c>
      <c r="I70" s="225">
        <v>336</v>
      </c>
      <c r="J70" s="225">
        <v>0.45</v>
      </c>
      <c r="K70" s="227">
        <f>SUM(K64:K69)</f>
        <v>280</v>
      </c>
      <c r="L70" s="228"/>
      <c r="M70" s="229"/>
      <c r="N70" s="229"/>
    </row>
    <row r="71" spans="1:14" s="74" customFormat="1" x14ac:dyDescent="0.35">
      <c r="A71" s="106" t="s">
        <v>142</v>
      </c>
      <c r="B71" s="275">
        <f>Gabbro!B4</f>
        <v>479607</v>
      </c>
      <c r="C71" s="275">
        <f>Gabbro!B5</f>
        <v>5439212</v>
      </c>
      <c r="D71" s="74">
        <f t="shared" si="0"/>
        <v>479720</v>
      </c>
      <c r="E71" s="74">
        <f t="shared" si="1"/>
        <v>5439396</v>
      </c>
      <c r="F71" s="73" t="s">
        <v>143</v>
      </c>
      <c r="G71" s="75">
        <f>Gabbro!B31</f>
        <v>0.35739130434782601</v>
      </c>
      <c r="H71" s="74">
        <f>MEDIAN(Gabbro!B7:B29)</f>
        <v>0.36</v>
      </c>
      <c r="I71" s="74">
        <f>SMALL(Gabbro!B7:B29,23)</f>
        <v>0.47</v>
      </c>
      <c r="J71" s="74">
        <f>SMALL(Gabbro!B7:B29,1)</f>
        <v>0.24</v>
      </c>
      <c r="K71" s="76">
        <v>23</v>
      </c>
      <c r="L71" s="122" t="str">
        <f>Gabbro!B3</f>
        <v>13/3</v>
      </c>
      <c r="M71" s="138" t="s">
        <v>432</v>
      </c>
      <c r="N71" s="138"/>
    </row>
    <row r="72" spans="1:14" s="74" customFormat="1" x14ac:dyDescent="0.35">
      <c r="A72" s="106" t="s">
        <v>142</v>
      </c>
      <c r="B72" s="275">
        <f>Gabbro!C4</f>
        <v>479705</v>
      </c>
      <c r="C72" s="275">
        <f>Gabbro!C5</f>
        <v>5438966</v>
      </c>
      <c r="D72" s="74">
        <f t="shared" si="0"/>
        <v>479818</v>
      </c>
      <c r="E72" s="74">
        <f t="shared" si="1"/>
        <v>5439150</v>
      </c>
      <c r="F72" s="73" t="s">
        <v>143</v>
      </c>
      <c r="G72" s="75">
        <f>Gabbro!C36</f>
        <v>0.55607142857142855</v>
      </c>
      <c r="H72" s="74">
        <f>MEDIAN(Gabbro!C7:C34)</f>
        <v>0.4</v>
      </c>
      <c r="I72" s="74">
        <f>SMALL(Gabbro!C7:C34,28)</f>
        <v>1.4</v>
      </c>
      <c r="J72" s="74">
        <f>SMALL(Gabbro!C7:C34,1)</f>
        <v>0.28000000000000003</v>
      </c>
      <c r="K72" s="76">
        <v>28</v>
      </c>
      <c r="L72" s="122" t="str">
        <f>Gabbro!C3</f>
        <v>25/1</v>
      </c>
      <c r="M72" s="138"/>
      <c r="N72" s="138"/>
    </row>
    <row r="73" spans="1:14" s="189" customFormat="1" ht="15" x14ac:dyDescent="0.4">
      <c r="A73" s="188" t="s">
        <v>142</v>
      </c>
      <c r="B73" s="265"/>
      <c r="C73" s="265"/>
      <c r="G73" s="190">
        <f>SUM(G71*K71+G72*K72)/K73</f>
        <v>0.46647058823529408</v>
      </c>
      <c r="H73" s="189">
        <f>MEDIAN(Gabbro!B7:B29,Gabbro!C7:C34)</f>
        <v>0.38</v>
      </c>
      <c r="I73" s="189">
        <v>1.4</v>
      </c>
      <c r="J73" s="189">
        <v>0.24</v>
      </c>
      <c r="K73" s="191">
        <f>SUM(K71+K72)</f>
        <v>51</v>
      </c>
      <c r="L73" s="192"/>
      <c r="M73" s="193"/>
      <c r="N73" s="193"/>
    </row>
    <row r="74" spans="1:14" s="90" customFormat="1" x14ac:dyDescent="0.35">
      <c r="A74" s="110" t="s">
        <v>148</v>
      </c>
      <c r="B74" s="276">
        <f>NeoP_Sed!B6</f>
        <v>434853</v>
      </c>
      <c r="C74" s="276">
        <f>NeoP_Sed!B7</f>
        <v>5443204</v>
      </c>
      <c r="D74" s="90">
        <f t="shared" si="0"/>
        <v>434966</v>
      </c>
      <c r="E74" s="90">
        <f t="shared" si="1"/>
        <v>5443388</v>
      </c>
      <c r="F74" s="89" t="s">
        <v>427</v>
      </c>
      <c r="G74" s="91">
        <f>NeoP_Sed!B37</f>
        <v>6.0769230769230798E-2</v>
      </c>
      <c r="H74" s="90">
        <f>MEDIAN(NeoP_Sed!B9:B35)</f>
        <v>0.05</v>
      </c>
      <c r="I74" s="90">
        <f>SMALL(NeoP_Sed!B10:B35,26)</f>
        <v>0.15</v>
      </c>
      <c r="J74" s="90">
        <f>SMALL(NeoP_Sed!B10:B35,1)</f>
        <v>0.02</v>
      </c>
      <c r="K74" s="92">
        <v>26</v>
      </c>
      <c r="L74" s="128" t="str">
        <f>NeoP_Sed!B5</f>
        <v>11/1</v>
      </c>
      <c r="M74" s="143" t="s">
        <v>426</v>
      </c>
      <c r="N74" s="143"/>
    </row>
    <row r="75" spans="1:14" s="90" customFormat="1" x14ac:dyDescent="0.35">
      <c r="A75" s="110" t="s">
        <v>148</v>
      </c>
      <c r="B75" s="276">
        <f>NeoP_Sed!C6</f>
        <v>463233</v>
      </c>
      <c r="C75" s="276">
        <f>NeoP_Sed!C7</f>
        <v>5444807</v>
      </c>
      <c r="D75" s="90">
        <f t="shared" si="0"/>
        <v>463346</v>
      </c>
      <c r="E75" s="90">
        <f t="shared" si="1"/>
        <v>5444991</v>
      </c>
      <c r="F75" s="89" t="s">
        <v>145</v>
      </c>
      <c r="G75" s="91">
        <f>NeoP_Sed!C47</f>
        <v>6.5277777777777796E-2</v>
      </c>
      <c r="H75" s="90">
        <f>MEDIAN(NeoP_Sed!C10:C45)</f>
        <v>7.0000000000000007E-2</v>
      </c>
      <c r="I75" s="90">
        <f>SMALL(NeoP_Sed!C10:C45,36)</f>
        <v>0.1</v>
      </c>
      <c r="J75" s="90">
        <f>SMALL(NeoP_Sed!C10:C45,1)</f>
        <v>0.03</v>
      </c>
      <c r="K75" s="92">
        <v>36</v>
      </c>
      <c r="L75" s="128" t="str">
        <f>NeoP_Sed!C5</f>
        <v>11/2</v>
      </c>
      <c r="M75" s="143"/>
      <c r="N75" s="143"/>
    </row>
    <row r="76" spans="1:14" s="90" customFormat="1" x14ac:dyDescent="0.35">
      <c r="A76" s="110" t="s">
        <v>148</v>
      </c>
      <c r="B76" s="276">
        <f>NeoP_Sed!D6</f>
        <v>463084</v>
      </c>
      <c r="C76" s="276">
        <f>NeoP_Sed!D7</f>
        <v>5444734</v>
      </c>
      <c r="D76" s="90">
        <f t="shared" si="0"/>
        <v>463197</v>
      </c>
      <c r="E76" s="90">
        <f t="shared" si="1"/>
        <v>5444918</v>
      </c>
      <c r="F76" s="89" t="s">
        <v>145</v>
      </c>
      <c r="G76" s="91">
        <f>NeoP_Sed!D25</f>
        <v>3.0714285714285715E-2</v>
      </c>
      <c r="H76" s="90">
        <f>MEDIAN(NeoP_Sed!D10:D23)</f>
        <v>0.03</v>
      </c>
      <c r="I76" s="90">
        <f>SMALL(NeoP_Sed!D10:D23,14)</f>
        <v>0.06</v>
      </c>
      <c r="J76" s="90">
        <f>SMALL(NeoP_Sed!D10:D23,1)</f>
        <v>0.01</v>
      </c>
      <c r="K76" s="92">
        <v>14</v>
      </c>
      <c r="L76" s="129" t="str">
        <f>NeoP_Sed!D5</f>
        <v>11/2a</v>
      </c>
      <c r="M76" s="143"/>
      <c r="N76" s="143"/>
    </row>
    <row r="77" spans="1:14" s="183" customFormat="1" ht="15" x14ac:dyDescent="0.4">
      <c r="A77" s="182" t="s">
        <v>148</v>
      </c>
      <c r="B77" s="264"/>
      <c r="C77" s="264"/>
      <c r="G77" s="184">
        <f>SUM(G74*K74+G75*K75+G76*K76)/K77</f>
        <v>5.7368421052631596E-2</v>
      </c>
      <c r="H77" s="183">
        <f>MEDIAN(NeoP_Sed!B10:B35,NeoP_Sed!C10:C45,NeoP_Sed!D10:D23)</f>
        <v>0.05</v>
      </c>
      <c r="I77" s="183">
        <v>0.15</v>
      </c>
      <c r="J77" s="183">
        <v>0.01</v>
      </c>
      <c r="K77" s="185">
        <f>SUM(K74:K76)</f>
        <v>76</v>
      </c>
      <c r="L77" s="240"/>
      <c r="M77" s="187"/>
      <c r="N77" s="187"/>
    </row>
    <row r="78" spans="1:14" s="81" customFormat="1" x14ac:dyDescent="0.35">
      <c r="A78" s="111" t="s">
        <v>147</v>
      </c>
      <c r="B78" s="277">
        <f>BadgerH_Sed!B4</f>
        <v>473920</v>
      </c>
      <c r="C78" s="277">
        <f>BadgerH_Sed!B5</f>
        <v>5439509</v>
      </c>
      <c r="D78" s="81">
        <f t="shared" si="0"/>
        <v>474033</v>
      </c>
      <c r="E78" s="81">
        <f t="shared" si="1"/>
        <v>5439693</v>
      </c>
      <c r="F78" s="80" t="s">
        <v>149</v>
      </c>
      <c r="G78" s="82">
        <f>BadgerH_Sed!B21</f>
        <v>0.06</v>
      </c>
      <c r="H78" s="82">
        <f>MEDIAN(BadgerH_Sed!B7:B16)</f>
        <v>5.5E-2</v>
      </c>
      <c r="I78" s="81">
        <f>SMALL(BadgerH_Sed!B7:B16,10)</f>
        <v>0.12</v>
      </c>
      <c r="J78" s="81">
        <f>SMALL(BadgerH_Sed!B7:B16,1)</f>
        <v>0.01</v>
      </c>
      <c r="K78" s="83">
        <v>10</v>
      </c>
      <c r="L78" s="130" t="str">
        <f>BadgerH_Sed!B3</f>
        <v>12/1a</v>
      </c>
      <c r="M78" s="144"/>
      <c r="N78" s="144"/>
    </row>
    <row r="79" spans="1:14" s="81" customFormat="1" x14ac:dyDescent="0.35">
      <c r="A79" s="111" t="s">
        <v>147</v>
      </c>
      <c r="B79" s="277">
        <f>BadgerH_Sed!C4</f>
        <v>473907</v>
      </c>
      <c r="C79" s="277">
        <f>BadgerH_Sed!C5</f>
        <v>5440312</v>
      </c>
      <c r="D79" s="81">
        <f t="shared" si="0"/>
        <v>474020</v>
      </c>
      <c r="E79" s="81">
        <f t="shared" si="1"/>
        <v>5440496</v>
      </c>
      <c r="F79" s="80" t="s">
        <v>149</v>
      </c>
      <c r="G79" s="82">
        <f>BadgerH_Sed!C21</f>
        <v>6.2500000000000014E-2</v>
      </c>
      <c r="H79" s="81">
        <f>MEDIAN(BadgerH_Sed!C7:C18)</f>
        <v>0.06</v>
      </c>
      <c r="I79" s="81">
        <f>SMALL(BadgerH_Sed!C7:C18,12)</f>
        <v>0.1</v>
      </c>
      <c r="J79" s="81">
        <f>SMALL(BadgerH_Sed!C7:C18,1)</f>
        <v>0.03</v>
      </c>
      <c r="K79" s="83">
        <v>12</v>
      </c>
      <c r="L79" s="130" t="str">
        <f>BadgerH_Sed!C3</f>
        <v>12/1b</v>
      </c>
      <c r="M79" s="144"/>
      <c r="N79" s="144"/>
    </row>
    <row r="80" spans="1:14" s="81" customFormat="1" x14ac:dyDescent="0.35">
      <c r="A80" s="111" t="s">
        <v>147</v>
      </c>
      <c r="B80" s="277">
        <f>BadgerH_Sed!D4</f>
        <v>475226</v>
      </c>
      <c r="C80" s="277">
        <f>BadgerH_Sed!D5</f>
        <v>5441710</v>
      </c>
      <c r="D80" s="81">
        <f t="shared" si="0"/>
        <v>475339</v>
      </c>
      <c r="E80" s="81">
        <f t="shared" si="1"/>
        <v>5441894</v>
      </c>
      <c r="F80" s="80" t="s">
        <v>149</v>
      </c>
      <c r="G80" s="82">
        <f>BadgerH_Sed!D25</f>
        <v>5.1176470588235316E-2</v>
      </c>
      <c r="H80" s="81">
        <f>MEDIAN(BadgerH_Sed!D7:D23)</f>
        <v>0.05</v>
      </c>
      <c r="I80" s="81">
        <f>SMALL(BadgerH_Sed!D7:D23,17)</f>
        <v>7.0000000000000007E-2</v>
      </c>
      <c r="J80" s="81">
        <f>SMALL(BadgerH_Sed!D7:D23,1)</f>
        <v>0.02</v>
      </c>
      <c r="K80" s="83">
        <v>17</v>
      </c>
      <c r="L80" s="130" t="str">
        <f>BadgerH_Sed!D3</f>
        <v>12/2</v>
      </c>
      <c r="M80" s="144" t="s">
        <v>428</v>
      </c>
      <c r="N80" s="144" t="s">
        <v>429</v>
      </c>
    </row>
    <row r="81" spans="1:14" s="81" customFormat="1" x14ac:dyDescent="0.35">
      <c r="A81" s="111" t="s">
        <v>147</v>
      </c>
      <c r="B81" s="277">
        <f>BadgerH_Sed!E4</f>
        <v>472436</v>
      </c>
      <c r="C81" s="277">
        <f>BadgerH_Sed!E5</f>
        <v>5449809</v>
      </c>
      <c r="D81" s="81">
        <f t="shared" si="0"/>
        <v>472549</v>
      </c>
      <c r="E81" s="81">
        <f t="shared" si="1"/>
        <v>5449993</v>
      </c>
      <c r="F81" s="80" t="s">
        <v>36</v>
      </c>
      <c r="G81" s="82">
        <f>BadgerH_Sed!E40</f>
        <v>0.11218750000000001</v>
      </c>
      <c r="H81" s="82">
        <f>MEDIAN(BadgerH_Sed!E7:E38)</f>
        <v>0.11499999999999999</v>
      </c>
      <c r="I81" s="81">
        <f>SMALL(BadgerH_Sed!E7:E38,32)</f>
        <v>0.16</v>
      </c>
      <c r="J81" s="81">
        <f>SMALL(BadgerH_Sed!E7:E38,1)</f>
        <v>0.03</v>
      </c>
      <c r="K81" s="83">
        <v>32</v>
      </c>
      <c r="L81" s="130" t="str">
        <f>BadgerH_Sed!E3</f>
        <v>12/3</v>
      </c>
      <c r="M81" s="144"/>
      <c r="N81" s="144"/>
    </row>
    <row r="82" spans="1:14" s="81" customFormat="1" x14ac:dyDescent="0.35">
      <c r="A82" s="111" t="s">
        <v>147</v>
      </c>
      <c r="B82" s="277">
        <f>BadgerH_Sed!F4</f>
        <v>470116</v>
      </c>
      <c r="C82" s="277">
        <f>BadgerH_Sed!F5</f>
        <v>5448666</v>
      </c>
      <c r="D82" s="81">
        <f t="shared" si="0"/>
        <v>470229</v>
      </c>
      <c r="E82" s="81">
        <f t="shared" si="1"/>
        <v>5448850</v>
      </c>
      <c r="F82" s="80" t="s">
        <v>36</v>
      </c>
      <c r="G82" s="82">
        <f>BadgerH_Sed!F47</f>
        <v>9.6666666666666679E-2</v>
      </c>
      <c r="H82" s="81">
        <f>MEDIAN(BadgerH_Sed!F7:F45)</f>
        <v>0.1</v>
      </c>
      <c r="I82" s="81">
        <f>SMALL(BadgerH_Sed!F7:F45,39)</f>
        <v>0.17</v>
      </c>
      <c r="J82" s="81">
        <f>SMALL(BadgerH_Sed!F7:F45,1)</f>
        <v>0.04</v>
      </c>
      <c r="K82" s="83">
        <v>39</v>
      </c>
      <c r="L82" s="130" t="str">
        <f>BadgerH_Sed!F3</f>
        <v>12/4</v>
      </c>
      <c r="M82" s="144" t="s">
        <v>430</v>
      </c>
      <c r="N82" s="144"/>
    </row>
    <row r="83" spans="1:14" s="81" customFormat="1" x14ac:dyDescent="0.35">
      <c r="A83" s="111" t="s">
        <v>524</v>
      </c>
      <c r="B83" s="277"/>
      <c r="C83" s="277"/>
      <c r="F83" s="80"/>
      <c r="G83" s="82">
        <f>SUM(G78*K78+G79*K79+G80*K80)/K83</f>
        <v>5.6923076923076937E-2</v>
      </c>
      <c r="H83" s="81">
        <f>MEDIAN(BadgerH_Sed!B7:B16,BadgerH_Sed!C7:C18,BadgerH_Sed!D7:D23)</f>
        <v>0.06</v>
      </c>
      <c r="I83" s="81">
        <v>0.12</v>
      </c>
      <c r="J83" s="81">
        <v>0.01</v>
      </c>
      <c r="K83" s="83">
        <f>SUM(K78:K80)</f>
        <v>39</v>
      </c>
      <c r="L83" s="130"/>
      <c r="M83" s="144"/>
      <c r="N83" s="144"/>
    </row>
    <row r="84" spans="1:14" s="168" customFormat="1" ht="15" x14ac:dyDescent="0.4">
      <c r="A84" s="167" t="s">
        <v>525</v>
      </c>
      <c r="B84" s="256"/>
      <c r="C84" s="256"/>
      <c r="G84" s="169">
        <f>SUM(G81*K81+G82*K82)/K84</f>
        <v>0.10366197183098594</v>
      </c>
      <c r="H84" s="169">
        <f>MEDIAN(BadgerH_Sed!E7:E38,BadgerH_Sed!F7:F45)</f>
        <v>0.1</v>
      </c>
      <c r="I84" s="168">
        <v>0.17</v>
      </c>
      <c r="J84" s="168">
        <v>0.03</v>
      </c>
      <c r="K84" s="170">
        <f>SUM(K81+K82)</f>
        <v>71</v>
      </c>
      <c r="L84" s="238"/>
      <c r="M84" s="171"/>
      <c r="N84" s="171"/>
    </row>
    <row r="85" spans="1:14" s="94" customFormat="1" x14ac:dyDescent="0.35">
      <c r="A85" s="112" t="s">
        <v>150</v>
      </c>
      <c r="B85" s="278">
        <f>Mathna_Gp!B4</f>
        <v>495101</v>
      </c>
      <c r="C85" s="278">
        <f>Mathna_Gp!B5</f>
        <v>5458333</v>
      </c>
      <c r="D85" s="94">
        <f t="shared" si="0"/>
        <v>495214</v>
      </c>
      <c r="E85" s="94">
        <f t="shared" si="1"/>
        <v>5458517</v>
      </c>
      <c r="F85" s="93" t="s">
        <v>433</v>
      </c>
      <c r="G85" s="95">
        <f>Mathna_Gp!B35</f>
        <v>8.2916666666666708E-2</v>
      </c>
      <c r="H85" s="94">
        <f>MEDIAN(Mathna_Gp!B7:B30)</f>
        <v>7.0000000000000007E-2</v>
      </c>
      <c r="I85" s="94">
        <f>SMALL(Mathna_Gp!B7:B30,24)</f>
        <v>0.17</v>
      </c>
      <c r="J85" s="94">
        <f>SMALL(Mathna_Gp!B7:B30,1)</f>
        <v>0.05</v>
      </c>
      <c r="K85" s="96">
        <v>24</v>
      </c>
      <c r="L85" s="131" t="str">
        <f>Mathna_Gp!B3</f>
        <v>13/4a</v>
      </c>
      <c r="M85" s="145" t="s">
        <v>434</v>
      </c>
      <c r="N85" s="145"/>
    </row>
    <row r="86" spans="1:14" s="94" customFormat="1" x14ac:dyDescent="0.35">
      <c r="A86" s="112" t="s">
        <v>150</v>
      </c>
      <c r="B86" s="278">
        <f>Mathna_Gp!C4</f>
        <v>494610</v>
      </c>
      <c r="C86" s="278">
        <f>Mathna_Gp!C5</f>
        <v>5458206</v>
      </c>
      <c r="D86" s="94">
        <f t="shared" si="0"/>
        <v>494723</v>
      </c>
      <c r="E86" s="94">
        <f t="shared" si="1"/>
        <v>5458390</v>
      </c>
      <c r="F86" s="93" t="s">
        <v>126</v>
      </c>
      <c r="G86" s="95">
        <f>Mathna_Gp!C57</f>
        <v>0.22163265306122451</v>
      </c>
      <c r="H86" s="94">
        <f>MEDIAN(Mathna_Gp!C7:C55)</f>
        <v>0.22</v>
      </c>
      <c r="I86" s="94">
        <f>SMALL(Mathna_Gp!C7:C55,49)</f>
        <v>0.35</v>
      </c>
      <c r="J86" s="94">
        <f>SMALL(Mathna_Gp!C7:C55,1)</f>
        <v>0.08</v>
      </c>
      <c r="K86" s="96">
        <v>49</v>
      </c>
      <c r="L86" s="131" t="str">
        <f>Mathna_Gp!C3</f>
        <v>13/4b</v>
      </c>
      <c r="M86" s="145" t="s">
        <v>435</v>
      </c>
      <c r="N86" s="145"/>
    </row>
    <row r="87" spans="1:14" s="94" customFormat="1" x14ac:dyDescent="0.35">
      <c r="A87" s="112" t="s">
        <v>150</v>
      </c>
      <c r="B87" s="278">
        <f>Mathna_Gp!D4</f>
        <v>506347</v>
      </c>
      <c r="C87" s="278">
        <f>Mathna_Gp!D5</f>
        <v>5450145</v>
      </c>
      <c r="D87" s="94">
        <f t="shared" si="0"/>
        <v>506460</v>
      </c>
      <c r="E87" s="94">
        <f t="shared" si="1"/>
        <v>5450329</v>
      </c>
      <c r="F87" s="93" t="s">
        <v>152</v>
      </c>
      <c r="G87" s="95">
        <f>Mathna_Gp!D36</f>
        <v>6.1071428571428596E-2</v>
      </c>
      <c r="H87" s="94">
        <f>MEDIAN(Mathna_Gp!D7:D34)</f>
        <v>0.06</v>
      </c>
      <c r="I87" s="94">
        <f>SMALL(Mathna_Gp!D7:D34,28)</f>
        <v>0.13</v>
      </c>
      <c r="J87" s="94">
        <f>SMALL(Mathna_Gp!D7:D34,1)</f>
        <v>0.02</v>
      </c>
      <c r="K87" s="96">
        <v>28</v>
      </c>
      <c r="L87" s="131" t="str">
        <f>Mathna_Gp!D3</f>
        <v>14/3</v>
      </c>
      <c r="M87" s="145"/>
      <c r="N87" s="145"/>
    </row>
    <row r="88" spans="1:14" s="94" customFormat="1" x14ac:dyDescent="0.35">
      <c r="A88" s="112" t="s">
        <v>150</v>
      </c>
      <c r="B88" s="278">
        <f>Mathna_Gp!E4</f>
        <v>512462</v>
      </c>
      <c r="C88" s="278">
        <f>Mathna_Gp!E5</f>
        <v>5459705</v>
      </c>
      <c r="D88" s="94">
        <f t="shared" si="0"/>
        <v>512575</v>
      </c>
      <c r="E88" s="94">
        <f t="shared" si="1"/>
        <v>5459889</v>
      </c>
      <c r="F88" s="93" t="s">
        <v>153</v>
      </c>
      <c r="G88" s="95">
        <f>Mathna_Gp!E57</f>
        <v>7.2127659574468095E-2</v>
      </c>
      <c r="H88" s="94">
        <f>MEDIAN(Mathna_Gp!E7:E53)</f>
        <v>0.06</v>
      </c>
      <c r="I88" s="94">
        <f>SMALL(Mathna_Gp!E7:E53,47)</f>
        <v>0.15</v>
      </c>
      <c r="J88" s="94">
        <f>SMALL(Mathna_Gp!E7:E53,1)</f>
        <v>0.03</v>
      </c>
      <c r="K88" s="96">
        <v>47</v>
      </c>
      <c r="L88" s="131" t="str">
        <f>Mathna_Gp!E3</f>
        <v>14/4</v>
      </c>
      <c r="M88" s="145" t="s">
        <v>438</v>
      </c>
      <c r="N88" s="145" t="s">
        <v>439</v>
      </c>
    </row>
    <row r="89" spans="1:14" s="94" customFormat="1" x14ac:dyDescent="0.35">
      <c r="A89" s="112" t="s">
        <v>150</v>
      </c>
      <c r="B89" s="278">
        <f>Mathna_Gp!F4</f>
        <v>514725</v>
      </c>
      <c r="C89" s="278">
        <f>Mathna_Gp!F5</f>
        <v>5460145</v>
      </c>
      <c r="D89" s="94">
        <f t="shared" si="0"/>
        <v>514838</v>
      </c>
      <c r="E89" s="94">
        <f t="shared" si="1"/>
        <v>5460329</v>
      </c>
      <c r="F89" s="93" t="s">
        <v>132</v>
      </c>
      <c r="G89" s="95">
        <f>Mathna_Gp!F36</f>
        <v>0.15928571428571431</v>
      </c>
      <c r="H89" s="95">
        <f>MEDIAN(Mathna_Gp!F7:F34)</f>
        <v>0.155</v>
      </c>
      <c r="I89" s="94">
        <f>SMALL(Mathna_Gp!F7:F34,28)</f>
        <v>0.28000000000000003</v>
      </c>
      <c r="J89" s="94">
        <f>SMALL(Mathna_Gp!F7:F34,1)</f>
        <v>0.08</v>
      </c>
      <c r="K89" s="96">
        <v>28</v>
      </c>
      <c r="L89" s="131" t="str">
        <f>Mathna_Gp!F3</f>
        <v>14/5</v>
      </c>
      <c r="M89" s="145" t="s">
        <v>440</v>
      </c>
      <c r="N89" s="145"/>
    </row>
    <row r="90" spans="1:14" s="94" customFormat="1" x14ac:dyDescent="0.35">
      <c r="A90" s="112" t="s">
        <v>150</v>
      </c>
      <c r="B90" s="278">
        <f>Mathna_Gp!G4</f>
        <v>532609</v>
      </c>
      <c r="C90" s="278">
        <f>Mathna_Gp!G5</f>
        <v>5462800</v>
      </c>
      <c r="D90" s="94">
        <f t="shared" si="0"/>
        <v>532722</v>
      </c>
      <c r="E90" s="94">
        <f t="shared" si="1"/>
        <v>5462984</v>
      </c>
      <c r="F90" s="93" t="s">
        <v>154</v>
      </c>
      <c r="G90" s="95">
        <f>Mathna_Gp!G15</f>
        <v>0.17333333333333334</v>
      </c>
      <c r="H90" s="95">
        <f>MEDIAN(Mathna_Gp!G8:G13)</f>
        <v>0.17499999999999999</v>
      </c>
      <c r="I90" s="94">
        <f>SMALL(Mathna_Gp!G8:G13,6)</f>
        <v>0.24</v>
      </c>
      <c r="J90" s="95">
        <f>SMALL(Mathna_Gp!G8:G13,1)</f>
        <v>0.1</v>
      </c>
      <c r="K90" s="96">
        <v>6</v>
      </c>
      <c r="L90" s="131" t="str">
        <f>Mathna_Gp!G3</f>
        <v>15/1</v>
      </c>
      <c r="M90" s="145"/>
      <c r="N90" s="145"/>
    </row>
    <row r="91" spans="1:14" s="94" customFormat="1" x14ac:dyDescent="0.35">
      <c r="A91" s="112" t="s">
        <v>150</v>
      </c>
      <c r="B91" s="278">
        <f>Mathna_Gp!H4</f>
        <v>585581</v>
      </c>
      <c r="C91" s="278">
        <f>Mathna_Gp!H5</f>
        <v>5465765</v>
      </c>
      <c r="D91" s="94">
        <f t="shared" ref="D91:D107" si="4">B91+113</f>
        <v>585694</v>
      </c>
      <c r="E91" s="94">
        <f t="shared" ref="E91:E107" si="5">C91+184</f>
        <v>5465949</v>
      </c>
      <c r="F91" s="93" t="s">
        <v>154</v>
      </c>
      <c r="G91" s="95">
        <f>Mathna_Gp!H26</f>
        <v>0.30941176470588233</v>
      </c>
      <c r="H91" s="94">
        <f>MEDIAN(Mathna_Gp!H8:H24)</f>
        <v>0.31</v>
      </c>
      <c r="I91" s="94">
        <f>SMALL(Mathna_Gp!H8:H24,17)</f>
        <v>0.43</v>
      </c>
      <c r="J91" s="94">
        <f>SMALL(Mathna_Gp!H8:H24,1)</f>
        <v>0.22</v>
      </c>
      <c r="K91" s="96">
        <v>17</v>
      </c>
      <c r="L91" s="131" t="s">
        <v>70</v>
      </c>
      <c r="M91" s="145"/>
      <c r="N91" s="145"/>
    </row>
    <row r="92" spans="1:14" s="94" customFormat="1" x14ac:dyDescent="0.35">
      <c r="A92" s="112" t="s">
        <v>150</v>
      </c>
      <c r="B92" s="278">
        <f>Mathna_Gp!I4</f>
        <v>570146</v>
      </c>
      <c r="C92" s="278">
        <f>Mathna_Gp!I5</f>
        <v>5473353</v>
      </c>
      <c r="D92" s="94">
        <f t="shared" si="4"/>
        <v>570259</v>
      </c>
      <c r="E92" s="94">
        <f t="shared" si="5"/>
        <v>5473537</v>
      </c>
      <c r="F92" s="93" t="s">
        <v>154</v>
      </c>
      <c r="G92" s="95">
        <f>Mathna_Gp!I57</f>
        <v>0.24148936170212756</v>
      </c>
      <c r="H92" s="94">
        <f>MEDIAN(Mathna_Gp!I8:I54)</f>
        <v>0.24</v>
      </c>
      <c r="I92" s="94">
        <f>SMALL(Mathna_Gp!I8:I54,47)</f>
        <v>0.39</v>
      </c>
      <c r="J92" s="95">
        <f>SMALL(Mathna_Gp!I8:I54,1)</f>
        <v>0.1</v>
      </c>
      <c r="K92" s="96">
        <v>47</v>
      </c>
      <c r="L92" s="131" t="str">
        <f>Mathna_Gp!I3</f>
        <v>15/3a</v>
      </c>
      <c r="M92" s="145" t="s">
        <v>441</v>
      </c>
      <c r="N92" s="145"/>
    </row>
    <row r="93" spans="1:14" s="94" customFormat="1" x14ac:dyDescent="0.35">
      <c r="A93" s="112" t="s">
        <v>150</v>
      </c>
      <c r="B93" s="278">
        <f>Mathna_Gp!J4</f>
        <v>569781</v>
      </c>
      <c r="C93" s="278">
        <f>Mathna_Gp!J5</f>
        <v>5473358</v>
      </c>
      <c r="D93" s="94">
        <f t="shared" si="4"/>
        <v>569894</v>
      </c>
      <c r="E93" s="94">
        <f t="shared" si="5"/>
        <v>5473542</v>
      </c>
      <c r="F93" s="93" t="s">
        <v>154</v>
      </c>
      <c r="G93" s="95">
        <f>Mathna_Gp!J31</f>
        <v>0.25454545454545457</v>
      </c>
      <c r="H93" s="94">
        <f>MEDIAN(Mathna_Gp!J8:J29)</f>
        <v>0.24</v>
      </c>
      <c r="I93" s="94">
        <f>SMALL(Mathna_Gp!J8:J29,22)</f>
        <v>0.39</v>
      </c>
      <c r="J93" s="94">
        <f>SMALL(Mathna_Gp!J8:J29,1)</f>
        <v>0.14000000000000001</v>
      </c>
      <c r="K93" s="96">
        <v>22</v>
      </c>
      <c r="L93" s="131" t="str">
        <f>Mathna_Gp!J3</f>
        <v>15/3b</v>
      </c>
      <c r="M93" s="145"/>
      <c r="N93" s="145"/>
    </row>
    <row r="94" spans="1:14" s="94" customFormat="1" x14ac:dyDescent="0.35">
      <c r="A94" s="112" t="s">
        <v>150</v>
      </c>
      <c r="B94" s="278">
        <f>Mathna_Gp!K4</f>
        <v>514109</v>
      </c>
      <c r="C94" s="278">
        <f>Mathna_Gp!K5</f>
        <v>5459963</v>
      </c>
      <c r="D94" s="94">
        <f t="shared" si="4"/>
        <v>514222</v>
      </c>
      <c r="E94" s="94">
        <f t="shared" si="5"/>
        <v>5460147</v>
      </c>
      <c r="F94" s="93" t="s">
        <v>153</v>
      </c>
      <c r="G94" s="95">
        <f>Mathna_Gp!K25</f>
        <v>0.24588235294117644</v>
      </c>
      <c r="H94" s="94">
        <f>MEDIAN(Mathna_Gp!K7:K23)</f>
        <v>0.28000000000000003</v>
      </c>
      <c r="I94" s="94">
        <f>SMALL(Mathna_Gp!K7:K23,17)</f>
        <v>0.35</v>
      </c>
      <c r="J94" s="94">
        <f>SMALL(Mathna_Gp!K7:K23,1)</f>
        <v>0.08</v>
      </c>
      <c r="K94" s="96">
        <v>17</v>
      </c>
      <c r="L94" s="131" t="str">
        <f>Mathna_Gp!K3</f>
        <v>16/1</v>
      </c>
      <c r="M94" s="145"/>
      <c r="N94" s="145"/>
    </row>
    <row r="95" spans="1:14" s="94" customFormat="1" x14ac:dyDescent="0.35">
      <c r="A95" s="112" t="s">
        <v>150</v>
      </c>
      <c r="B95" s="278">
        <f>Mathna_Gp!L4</f>
        <v>504490</v>
      </c>
      <c r="C95" s="278">
        <f>Mathna_Gp!L5</f>
        <v>5456112</v>
      </c>
      <c r="D95" s="94">
        <f t="shared" si="4"/>
        <v>504603</v>
      </c>
      <c r="E95" s="94">
        <f t="shared" si="5"/>
        <v>5456296</v>
      </c>
      <c r="F95" s="94" t="s">
        <v>151</v>
      </c>
      <c r="G95" s="95">
        <f>Mathna_Gp!L31</f>
        <v>6.3043478260869576E-2</v>
      </c>
      <c r="H95" s="94">
        <f>MEDIAN(Mathna_Gp!L7:L29)</f>
        <v>0.06</v>
      </c>
      <c r="I95" s="94">
        <f>SMALL(Mathna_Gp!L7:L29,23)</f>
        <v>0.08</v>
      </c>
      <c r="J95" s="94">
        <f>SMALL(Mathna_Gp!L7:L29,1)</f>
        <v>0.03</v>
      </c>
      <c r="K95" s="96">
        <v>23</v>
      </c>
      <c r="L95" s="131" t="str">
        <f>Mathna_Gp!L3</f>
        <v>16/3</v>
      </c>
      <c r="M95" s="145" t="s">
        <v>442</v>
      </c>
      <c r="N95" s="145"/>
    </row>
    <row r="96" spans="1:14" s="242" customFormat="1" ht="15" x14ac:dyDescent="0.4">
      <c r="A96" s="241" t="s">
        <v>150</v>
      </c>
      <c r="B96" s="279"/>
      <c r="C96" s="279"/>
      <c r="G96" s="243">
        <f>SUM(G85*K85+G86*K86+G87*K87+G88*K88+G89*K89+G90*K90+G91*K91+G92*K92+G93*K93+G94*K94+G95*K95)/K96</f>
        <v>0.16652597402597402</v>
      </c>
      <c r="H96" s="243">
        <f>MEDIAN(Mathna_Gp!B7:B30,Mathna_Gp!C7:C55,Mathna_Gp!D7:D34,Mathna_Gp!E7:E53,Mathna_Gp!F7:F34,Mathna_Gp!G8:G13,Mathna_Gp!H8:H24,Mathna_Gp!I8:I54,Mathna_Gp!J8:J29,Mathna_Gp!K7:K23,Mathna_Gp!L7:L29)</f>
        <v>0.14500000000000002</v>
      </c>
      <c r="I96" s="242">
        <f>SMALL(I85:I95,11)</f>
        <v>0.43</v>
      </c>
      <c r="J96" s="242">
        <f>SMALL(J85:J95,1)</f>
        <v>0.02</v>
      </c>
      <c r="K96" s="244">
        <f>SUM(K85:K95)</f>
        <v>308</v>
      </c>
      <c r="L96" s="245"/>
      <c r="M96" s="246"/>
      <c r="N96" s="246"/>
    </row>
    <row r="97" spans="1:14" s="74" customFormat="1" x14ac:dyDescent="0.35">
      <c r="A97" s="106" t="s">
        <v>157</v>
      </c>
      <c r="B97" s="275">
        <f>Dolerite!B5</f>
        <v>463143</v>
      </c>
      <c r="C97" s="275">
        <f>Dolerite!B6</f>
        <v>5444480</v>
      </c>
      <c r="D97" s="74">
        <f t="shared" si="4"/>
        <v>463256</v>
      </c>
      <c r="E97" s="74">
        <f t="shared" si="5"/>
        <v>5444664</v>
      </c>
      <c r="F97" s="74" t="s">
        <v>124</v>
      </c>
      <c r="G97" s="75">
        <f>Dolerite!B39</f>
        <v>0.69034482758620686</v>
      </c>
      <c r="H97" s="75">
        <f>MEDIAN(Dolerite!B8:B36)</f>
        <v>0.7</v>
      </c>
      <c r="I97" s="74">
        <f>SMALL(Dolerite!B8:B36,29)</f>
        <v>0.78</v>
      </c>
      <c r="J97" s="75">
        <f>SMALL(Dolerite!B8:B36,1)</f>
        <v>0.5</v>
      </c>
      <c r="K97" s="76">
        <v>29</v>
      </c>
      <c r="L97" s="122" t="str">
        <f>Dolerite!B4</f>
        <v>11/2</v>
      </c>
      <c r="M97" s="138"/>
      <c r="N97" s="138"/>
    </row>
    <row r="98" spans="1:14" s="74" customFormat="1" x14ac:dyDescent="0.35">
      <c r="A98" s="106" t="s">
        <v>157</v>
      </c>
      <c r="B98" s="275">
        <f>Dolerite!C5</f>
        <v>463046</v>
      </c>
      <c r="C98" s="275">
        <f>Dolerite!C6</f>
        <v>5444961</v>
      </c>
      <c r="D98" s="74">
        <f t="shared" si="4"/>
        <v>463159</v>
      </c>
      <c r="E98" s="74">
        <f t="shared" si="5"/>
        <v>5445145</v>
      </c>
      <c r="F98" s="74" t="s">
        <v>124</v>
      </c>
      <c r="G98" s="75">
        <f>Dolerite!C41</f>
        <v>0.74624999999999986</v>
      </c>
      <c r="H98" s="74">
        <f>MEDIAN(Dolerite!C8:C39)</f>
        <v>0.73</v>
      </c>
      <c r="I98" s="74">
        <f>SMALL(Dolerite!C8:C39,32)</f>
        <v>1.1299999999999999</v>
      </c>
      <c r="J98" s="74">
        <f>SMALL(Dolerite!C8:C39,1)</f>
        <v>0.46</v>
      </c>
      <c r="K98" s="76">
        <v>32</v>
      </c>
      <c r="L98" s="122" t="str">
        <f>Dolerite!C4</f>
        <v>11/2</v>
      </c>
      <c r="M98" s="138"/>
      <c r="N98" s="138"/>
    </row>
    <row r="99" spans="1:14" s="189" customFormat="1" ht="15" x14ac:dyDescent="0.4">
      <c r="A99" s="188" t="s">
        <v>157</v>
      </c>
      <c r="B99" s="265"/>
      <c r="C99" s="265"/>
      <c r="G99" s="190">
        <f>SUM(G97*K97+G98*K98)/K99</f>
        <v>0.71967213114754081</v>
      </c>
      <c r="H99" s="189">
        <f>MEDIAN(Dolerite!B8:B36,Dolerite!C8:C39)</f>
        <v>0.72</v>
      </c>
      <c r="I99" s="189">
        <v>1.1299999999999999</v>
      </c>
      <c r="J99" s="189">
        <v>0.46</v>
      </c>
      <c r="K99" s="191">
        <f>SUM(K97+K98)</f>
        <v>61</v>
      </c>
      <c r="L99" s="192"/>
      <c r="M99" s="193"/>
      <c r="N99" s="193"/>
    </row>
    <row r="100" spans="1:14" s="97" customFormat="1" x14ac:dyDescent="0.35">
      <c r="A100" s="113" t="s">
        <v>155</v>
      </c>
      <c r="B100" s="280">
        <f>Dolerite!E5</f>
        <v>483284</v>
      </c>
      <c r="C100" s="280">
        <f>Dolerite!E6</f>
        <v>5453980</v>
      </c>
      <c r="D100" s="97">
        <f t="shared" si="4"/>
        <v>483397</v>
      </c>
      <c r="E100" s="97">
        <f t="shared" si="5"/>
        <v>5454164</v>
      </c>
      <c r="F100" s="97" t="s">
        <v>124</v>
      </c>
      <c r="G100" s="98">
        <f>Dolerite!E60</f>
        <v>6.3350980392156844</v>
      </c>
      <c r="H100" s="97">
        <f>MEDIAN(Dolerite!E8:E58)</f>
        <v>6.39</v>
      </c>
      <c r="I100" s="97">
        <f>SMALL(Dolerite!E8:E58,51)</f>
        <v>12.6</v>
      </c>
      <c r="J100" s="97">
        <f>SMALL(Dolerite!E8:E58,1)</f>
        <v>0.32</v>
      </c>
      <c r="K100" s="99">
        <v>51</v>
      </c>
      <c r="L100" s="123" t="str">
        <f>Dolerite!E4</f>
        <v>14/1</v>
      </c>
      <c r="M100" s="139" t="s">
        <v>437</v>
      </c>
      <c r="N100" s="139"/>
    </row>
    <row r="101" spans="1:14" s="97" customFormat="1" x14ac:dyDescent="0.35">
      <c r="A101" s="113" t="s">
        <v>155</v>
      </c>
      <c r="B101" s="280">
        <f>Dolerite!F5</f>
        <v>461666</v>
      </c>
      <c r="C101" s="280">
        <f>Dolerite!F6</f>
        <v>5444259</v>
      </c>
      <c r="D101" s="97">
        <f t="shared" si="4"/>
        <v>461779</v>
      </c>
      <c r="E101" s="97">
        <f t="shared" si="5"/>
        <v>5444443</v>
      </c>
      <c r="F101" s="97" t="s">
        <v>124</v>
      </c>
      <c r="G101" s="98">
        <f>Dolerite!F59</f>
        <v>6.5134000000000007</v>
      </c>
      <c r="H101" s="97">
        <f>MEDIAN(Dolerite!F8:F57)</f>
        <v>6.3900000000000006</v>
      </c>
      <c r="I101" s="97">
        <f>SMALL(Dolerite!F8:F57,50)</f>
        <v>11.5</v>
      </c>
      <c r="J101" s="97">
        <f>SMALL(Dolerite!F8:F57,1)</f>
        <v>4.55</v>
      </c>
      <c r="K101" s="99">
        <v>50</v>
      </c>
      <c r="L101" s="123" t="str">
        <f>Dolerite!F4</f>
        <v>17/1</v>
      </c>
      <c r="M101" s="139"/>
      <c r="N101" s="139"/>
    </row>
    <row r="102" spans="1:14" s="97" customFormat="1" x14ac:dyDescent="0.35">
      <c r="A102" s="113" t="s">
        <v>155</v>
      </c>
      <c r="B102" s="280">
        <f>Dolerite!G5</f>
        <v>528271</v>
      </c>
      <c r="C102" s="280">
        <f>Dolerite!G6</f>
        <v>5314119</v>
      </c>
      <c r="D102" s="97">
        <f t="shared" si="4"/>
        <v>528384</v>
      </c>
      <c r="E102" s="97">
        <f t="shared" si="5"/>
        <v>5314303</v>
      </c>
      <c r="F102" s="97" t="s">
        <v>124</v>
      </c>
      <c r="G102" s="98">
        <f>Dolerite!G72</f>
        <v>21.965396825396827</v>
      </c>
      <c r="H102" s="97">
        <f>MEDIAN(Dolerite!G8:G70)</f>
        <v>21.4</v>
      </c>
      <c r="I102" s="97">
        <f>SMALL(Dolerite!G8:G70,63)</f>
        <v>35.700000000000003</v>
      </c>
      <c r="J102" s="97">
        <f>SMALL(Dolerite!G8:G70,1)</f>
        <v>0.22</v>
      </c>
      <c r="K102" s="99">
        <v>63</v>
      </c>
      <c r="L102" s="123" t="str">
        <f>Dolerite!G4</f>
        <v>29/1</v>
      </c>
      <c r="M102" s="139"/>
      <c r="N102" s="139"/>
    </row>
    <row r="103" spans="1:14" s="208" customFormat="1" ht="15" x14ac:dyDescent="0.4">
      <c r="A103" s="207" t="s">
        <v>155</v>
      </c>
      <c r="B103" s="267"/>
      <c r="C103" s="267"/>
      <c r="G103" s="209">
        <f>SUM(G100*K100+G101*K101+G102*K102)/K103</f>
        <v>12.393780487804879</v>
      </c>
      <c r="H103" s="208">
        <f>MEDIAN(Dolerite!E8:E58,Dolerite!F8:F57,Dolerite!G8:G70)</f>
        <v>7.61</v>
      </c>
      <c r="I103" s="208">
        <v>35.700000000000003</v>
      </c>
      <c r="J103" s="208">
        <v>0.22</v>
      </c>
      <c r="K103" s="210">
        <f>SUM(K100:K102)</f>
        <v>164</v>
      </c>
      <c r="L103" s="247"/>
      <c r="M103" s="248"/>
      <c r="N103" s="248"/>
    </row>
    <row r="104" spans="1:14" s="86" customFormat="1" x14ac:dyDescent="0.35">
      <c r="A104" s="109" t="s">
        <v>156</v>
      </c>
      <c r="B104" s="273">
        <f>Cz_Basalt!B4</f>
        <v>434853</v>
      </c>
      <c r="C104" s="273">
        <f>Cz_Basalt!B5</f>
        <v>5443204</v>
      </c>
      <c r="D104" s="86">
        <f t="shared" si="4"/>
        <v>434966</v>
      </c>
      <c r="E104" s="86">
        <f t="shared" si="5"/>
        <v>5443388</v>
      </c>
      <c r="F104" s="86" t="s">
        <v>115</v>
      </c>
      <c r="G104" s="87">
        <f>Cz_Basalt!B22</f>
        <v>3.2714285714285714</v>
      </c>
      <c r="H104" s="86">
        <f>MEDIAN(Cz_Basalt!B7:B20)</f>
        <v>3.4</v>
      </c>
      <c r="I104" s="86">
        <f>SMALL(Cz_Basalt!B7:B20,14)</f>
        <v>5.19</v>
      </c>
      <c r="J104" s="86">
        <f>SMALL(Cz_Basalt!B7:B20,1)</f>
        <v>0.61</v>
      </c>
      <c r="K104" s="88">
        <v>14</v>
      </c>
      <c r="L104" s="127" t="str">
        <f>Cz_Basalt!B3</f>
        <v>9/3</v>
      </c>
      <c r="M104" s="142"/>
      <c r="N104" s="142"/>
    </row>
    <row r="105" spans="1:14" s="86" customFormat="1" x14ac:dyDescent="0.35">
      <c r="A105" s="109" t="s">
        <v>156</v>
      </c>
      <c r="B105" s="273">
        <f>Cz_Basalt!C4</f>
        <v>506099</v>
      </c>
      <c r="C105" s="273">
        <f>Cz_Basalt!C5</f>
        <v>5461088</v>
      </c>
      <c r="D105" s="86">
        <f t="shared" si="4"/>
        <v>506212</v>
      </c>
      <c r="E105" s="86">
        <f t="shared" si="5"/>
        <v>5461272</v>
      </c>
      <c r="F105" s="86" t="s">
        <v>115</v>
      </c>
      <c r="G105" s="87">
        <f>Cz_Basalt!C60</f>
        <v>3.0855769230769221</v>
      </c>
      <c r="H105" s="86">
        <f>MEDIAN(Cz_Basalt!C7:C58)</f>
        <v>2.6399999999999997</v>
      </c>
      <c r="I105" s="86">
        <f>SMALL(Cz_Basalt!C7:C58,52)</f>
        <v>18.399999999999999</v>
      </c>
      <c r="J105" s="86">
        <f>SMALL(Cz_Basalt!C7:C58,1)</f>
        <v>1.69</v>
      </c>
      <c r="K105" s="88">
        <v>52</v>
      </c>
      <c r="L105" s="127" t="str">
        <f>Cz_Basalt!C3</f>
        <v>16/2</v>
      </c>
      <c r="M105" s="142"/>
      <c r="N105" s="142"/>
    </row>
    <row r="106" spans="1:14" s="86" customFormat="1" x14ac:dyDescent="0.35">
      <c r="A106" s="109" t="s">
        <v>156</v>
      </c>
      <c r="B106" s="273">
        <f>Cz_Basalt!D4</f>
        <v>426910</v>
      </c>
      <c r="C106" s="273">
        <f>Cz_Basalt!D5</f>
        <v>5445676</v>
      </c>
      <c r="D106" s="86">
        <f t="shared" si="4"/>
        <v>427023</v>
      </c>
      <c r="E106" s="86">
        <f t="shared" si="5"/>
        <v>5445860</v>
      </c>
      <c r="F106" s="86" t="s">
        <v>115</v>
      </c>
      <c r="G106" s="87">
        <f>Cz_Basalt!D71</f>
        <v>2.793333333333333</v>
      </c>
      <c r="H106" s="86">
        <f>MEDIAN(Cz_Basalt!D7:D69)</f>
        <v>2.79</v>
      </c>
      <c r="I106" s="86">
        <f>SMALL(Cz_Basalt!D7:D69,63)</f>
        <v>4.22</v>
      </c>
      <c r="J106" s="86">
        <f>SMALL(Cz_Basalt!D7:D69,1)</f>
        <v>1.76</v>
      </c>
      <c r="K106" s="88">
        <v>63</v>
      </c>
      <c r="L106" s="127" t="str">
        <f>Cz_Basalt!D3</f>
        <v>20/1</v>
      </c>
      <c r="M106" s="142"/>
      <c r="N106" s="142"/>
    </row>
    <row r="107" spans="1:14" s="86" customFormat="1" x14ac:dyDescent="0.35">
      <c r="A107" s="109" t="s">
        <v>156</v>
      </c>
      <c r="B107" s="273">
        <f>Cz_Basalt!E4</f>
        <v>397689</v>
      </c>
      <c r="C107" s="273">
        <f>Cz_Basalt!E5</f>
        <v>5458744</v>
      </c>
      <c r="D107" s="86">
        <f t="shared" si="4"/>
        <v>397802</v>
      </c>
      <c r="E107" s="86">
        <f t="shared" si="5"/>
        <v>5458928</v>
      </c>
      <c r="F107" s="86" t="s">
        <v>115</v>
      </c>
      <c r="G107" s="87">
        <f>Cz_Basalt!E66</f>
        <v>1.8982758620689655</v>
      </c>
      <c r="H107" s="87">
        <f>MEDIAN(Cz_Basalt!E7:E64)</f>
        <v>1.605</v>
      </c>
      <c r="I107" s="86">
        <f>SMALL(Cz_Basalt!E7:E64,58)</f>
        <v>4.45</v>
      </c>
      <c r="J107" s="86">
        <f>SMALL(Cz_Basalt!E7:E64,1)</f>
        <v>0.74</v>
      </c>
      <c r="K107" s="88">
        <v>58</v>
      </c>
      <c r="L107" s="127" t="str">
        <f>Cz_Basalt!E3</f>
        <v>22/2</v>
      </c>
      <c r="M107" s="142"/>
      <c r="N107" s="142"/>
    </row>
    <row r="108" spans="1:14" s="225" customFormat="1" ht="15" x14ac:dyDescent="0.4">
      <c r="A108" s="224" t="s">
        <v>156</v>
      </c>
      <c r="B108" s="274"/>
      <c r="C108" s="274"/>
      <c r="G108" s="226">
        <f>SUM(G104*K104+G105*K105+G106*K106+G107*K107)/K108</f>
        <v>2.6327807486631012</v>
      </c>
      <c r="H108" s="225">
        <f>MEDIAN(Cz_Basalt!B7:B20,Cz_Basalt!C7:C58,Cz_Basalt!D7:D69,Cz_Basalt!E7:E64)</f>
        <v>2.5499999999999998</v>
      </c>
      <c r="I108" s="225">
        <v>18.399999999999999</v>
      </c>
      <c r="J108" s="225">
        <v>0.61</v>
      </c>
      <c r="K108" s="227">
        <f>SUM(K104:K107)</f>
        <v>187</v>
      </c>
      <c r="L108" s="228"/>
      <c r="M108" s="229"/>
      <c r="N108" s="229"/>
    </row>
    <row r="113" spans="11:11" x14ac:dyDescent="0.35">
      <c r="K113" s="16">
        <f>SUM(K108+K103+K99+K96+K84+K77+K83+K73+K70+K63+K57+K53+K52+K51+K50+K42+K34+K33+K29+K28+K23+K22+K21+K15+K14+K13+K10+K9)</f>
        <v>2690</v>
      </c>
    </row>
  </sheetData>
  <mergeCells count="1">
    <mergeCell ref="M1:N1"/>
  </mergeCells>
  <pageMargins left="0.31496062992125984" right="0.31496062992125984" top="0.74803149606299213" bottom="0.74803149606299213" header="0.31496062992125984" footer="0.31496062992125984"/>
  <pageSetup paperSize="9" orientation="landscape" r:id="rId1"/>
  <ignoredErrors>
    <ignoredError sqref="G54:G56 H54:J56 G28 K28 K33 K57 K83" formulaRange="1"/>
    <ignoredError sqref="D10:E10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90"/>
  <sheetViews>
    <sheetView topLeftCell="T1" workbookViewId="0">
      <selection activeCell="AA22" sqref="AA22:BF22"/>
    </sheetView>
  </sheetViews>
  <sheetFormatPr defaultRowHeight="12.75" x14ac:dyDescent="0.35"/>
  <cols>
    <col min="1" max="1" width="13.19921875" customWidth="1"/>
    <col min="5" max="5" width="11.53125" customWidth="1"/>
    <col min="10" max="10" width="8.796875" style="49"/>
    <col min="15" max="15" width="8.796875" style="47"/>
  </cols>
  <sheetData>
    <row r="1" spans="1:57" x14ac:dyDescent="0.35">
      <c r="A1" t="s">
        <v>0</v>
      </c>
    </row>
    <row r="2" spans="1:57" x14ac:dyDescent="0.35">
      <c r="A2" t="s">
        <v>91</v>
      </c>
    </row>
    <row r="3" spans="1:57" s="22" customFormat="1" x14ac:dyDescent="0.35">
      <c r="A3" s="22" t="s">
        <v>4</v>
      </c>
      <c r="B3" s="47" t="s">
        <v>10</v>
      </c>
      <c r="C3" s="47" t="s">
        <v>14</v>
      </c>
      <c r="D3" s="47" t="s">
        <v>15</v>
      </c>
      <c r="E3" s="47" t="s">
        <v>15</v>
      </c>
      <c r="F3" s="47" t="s">
        <v>18</v>
      </c>
      <c r="G3" s="47"/>
      <c r="H3" s="47" t="s">
        <v>349</v>
      </c>
      <c r="I3" s="47"/>
      <c r="J3" s="50" t="s">
        <v>15</v>
      </c>
      <c r="K3" s="47"/>
      <c r="L3" s="47"/>
      <c r="M3" s="47"/>
      <c r="N3" s="47"/>
      <c r="O3" s="287" t="s">
        <v>15</v>
      </c>
      <c r="P3" s="287"/>
      <c r="Q3" s="47"/>
      <c r="R3" s="47"/>
      <c r="S3" s="47"/>
    </row>
    <row r="4" spans="1:57" x14ac:dyDescent="0.35">
      <c r="A4" t="s">
        <v>2</v>
      </c>
      <c r="B4">
        <v>320641</v>
      </c>
      <c r="C4">
        <v>362040</v>
      </c>
      <c r="D4">
        <v>366706</v>
      </c>
      <c r="E4">
        <v>366706</v>
      </c>
      <c r="F4">
        <v>368231</v>
      </c>
      <c r="J4" s="49" t="s">
        <v>350</v>
      </c>
      <c r="K4" s="47" t="s">
        <v>159</v>
      </c>
      <c r="L4" s="16" t="s">
        <v>345</v>
      </c>
      <c r="M4" s="16" t="s">
        <v>34</v>
      </c>
      <c r="O4" s="47" t="s">
        <v>280</v>
      </c>
      <c r="P4" s="16" t="s">
        <v>34</v>
      </c>
    </row>
    <row r="5" spans="1:57" x14ac:dyDescent="0.35">
      <c r="A5" t="s">
        <v>1</v>
      </c>
      <c r="B5">
        <v>5486920</v>
      </c>
      <c r="C5">
        <v>5476292</v>
      </c>
      <c r="D5">
        <v>5475095</v>
      </c>
      <c r="E5">
        <v>5475095</v>
      </c>
      <c r="F5">
        <v>5473553</v>
      </c>
    </row>
    <row r="6" spans="1:57" x14ac:dyDescent="0.35">
      <c r="B6" s="2"/>
      <c r="C6" s="2"/>
      <c r="D6" s="2" t="s">
        <v>16</v>
      </c>
      <c r="E6" s="2" t="s">
        <v>17</v>
      </c>
      <c r="F6" s="2"/>
      <c r="G6" s="2"/>
      <c r="H6" s="2"/>
      <c r="I6" s="2"/>
      <c r="J6" s="51"/>
      <c r="K6" s="2"/>
      <c r="L6" s="2"/>
      <c r="M6" s="2"/>
    </row>
    <row r="7" spans="1:57" s="1" customFormat="1" x14ac:dyDescent="0.35">
      <c r="B7" s="5">
        <v>0.27</v>
      </c>
      <c r="C7" s="5">
        <v>0.4</v>
      </c>
      <c r="D7" s="5">
        <v>0.72</v>
      </c>
      <c r="E7" s="5">
        <v>0.51</v>
      </c>
      <c r="F7" s="5">
        <v>0.54</v>
      </c>
      <c r="G7" s="5"/>
      <c r="H7" s="48">
        <v>0.33</v>
      </c>
      <c r="I7" s="5"/>
      <c r="J7" s="48">
        <v>0.4</v>
      </c>
      <c r="K7" s="4">
        <f>1+J7</f>
        <v>1.4</v>
      </c>
      <c r="L7">
        <f>LOG10(K7)</f>
        <v>0.14612803567823801</v>
      </c>
      <c r="M7">
        <v>1</v>
      </c>
      <c r="N7" s="23">
        <f>M7/40</f>
        <v>2.5000000000000001E-2</v>
      </c>
      <c r="O7" s="47" t="s">
        <v>281</v>
      </c>
      <c r="P7" s="52">
        <f>COUNTIF(J$7:J$46,"&gt;=0.35")-COUNTIF(J$7:J$46,"&gt;0.399")</f>
        <v>0</v>
      </c>
      <c r="Q7"/>
      <c r="R7"/>
      <c r="S7"/>
      <c r="T7"/>
      <c r="U7"/>
      <c r="V7"/>
      <c r="W7"/>
      <c r="X7"/>
      <c r="Y7"/>
      <c r="Z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</row>
    <row r="8" spans="1:57" x14ac:dyDescent="0.35">
      <c r="B8" s="4">
        <v>0.24</v>
      </c>
      <c r="C8" s="4">
        <v>0.53</v>
      </c>
      <c r="D8" s="4">
        <v>0.78</v>
      </c>
      <c r="E8" s="4">
        <v>0.56000000000000005</v>
      </c>
      <c r="F8" s="4">
        <v>0.5</v>
      </c>
      <c r="G8" s="4"/>
      <c r="H8" s="48">
        <v>0.36</v>
      </c>
      <c r="I8" s="4"/>
      <c r="J8" s="48">
        <v>0.4</v>
      </c>
      <c r="K8" s="4">
        <f t="shared" ref="K8:K46" si="0">1+J8</f>
        <v>1.4</v>
      </c>
      <c r="L8">
        <f t="shared" ref="L8:L46" si="1">LOG10(K8)</f>
        <v>0.14612803567823801</v>
      </c>
      <c r="M8">
        <f>1+M7</f>
        <v>2</v>
      </c>
      <c r="N8" s="23">
        <f t="shared" ref="N8:N46" si="2">M8/40</f>
        <v>0.05</v>
      </c>
      <c r="O8" s="47" t="s">
        <v>282</v>
      </c>
      <c r="P8" s="52">
        <f>COUNTIF(J$7:J$46,"&gt;=0.4")-COUNTIF(J$7:J$46,"&gt;0.449")</f>
        <v>2</v>
      </c>
    </row>
    <row r="9" spans="1:57" x14ac:dyDescent="0.35">
      <c r="B9" s="4">
        <v>0.17</v>
      </c>
      <c r="C9" s="4">
        <v>0.5</v>
      </c>
      <c r="D9" s="4">
        <v>0.4</v>
      </c>
      <c r="E9" s="4">
        <v>0.77</v>
      </c>
      <c r="F9" s="4">
        <v>0.51</v>
      </c>
      <c r="G9" s="4"/>
      <c r="H9" s="48">
        <v>0.37</v>
      </c>
      <c r="I9" s="4"/>
      <c r="J9" s="48">
        <v>0.51</v>
      </c>
      <c r="K9" s="4">
        <f t="shared" si="0"/>
        <v>1.51</v>
      </c>
      <c r="L9">
        <f t="shared" si="1"/>
        <v>0.17897694729316943</v>
      </c>
      <c r="M9">
        <f t="shared" ref="M9:M46" si="3">1+M8</f>
        <v>3</v>
      </c>
      <c r="N9" s="23">
        <f t="shared" si="2"/>
        <v>7.4999999999999997E-2</v>
      </c>
      <c r="O9" s="47" t="s">
        <v>283</v>
      </c>
      <c r="P9" s="52">
        <f>COUNTIF(J$7:J$46,"&gt;=0.45")-COUNTIF(J$7:J$46,"&gt;0.499")</f>
        <v>0</v>
      </c>
    </row>
    <row r="10" spans="1:57" x14ac:dyDescent="0.35">
      <c r="B10" s="4">
        <v>0.34</v>
      </c>
      <c r="C10" s="4">
        <v>0.52</v>
      </c>
      <c r="D10" s="4">
        <v>0.66</v>
      </c>
      <c r="E10" s="4">
        <v>0.56000000000000005</v>
      </c>
      <c r="F10" s="4">
        <v>0.42</v>
      </c>
      <c r="G10" s="4"/>
      <c r="H10" s="48">
        <v>0.37</v>
      </c>
      <c r="I10" s="4"/>
      <c r="J10" s="48">
        <v>0.51</v>
      </c>
      <c r="K10" s="4">
        <f t="shared" si="0"/>
        <v>1.51</v>
      </c>
      <c r="L10">
        <f t="shared" si="1"/>
        <v>0.17897694729316943</v>
      </c>
      <c r="M10">
        <f t="shared" si="3"/>
        <v>4</v>
      </c>
      <c r="N10" s="23">
        <f t="shared" si="2"/>
        <v>0.1</v>
      </c>
      <c r="O10" s="47" t="s">
        <v>284</v>
      </c>
      <c r="P10" s="52">
        <f>COUNTIF(J$7:J$46,"&gt;=0.3")-COUNTIF(J$7:J$46,"&gt;0.549")</f>
        <v>6</v>
      </c>
    </row>
    <row r="11" spans="1:57" x14ac:dyDescent="0.35">
      <c r="B11" s="4">
        <v>0.21</v>
      </c>
      <c r="C11" s="4">
        <v>0.4</v>
      </c>
      <c r="D11" s="4">
        <v>0.67</v>
      </c>
      <c r="E11" s="4">
        <v>0.65</v>
      </c>
      <c r="F11" s="4">
        <v>0.44</v>
      </c>
      <c r="G11" s="4"/>
      <c r="H11" s="48">
        <v>0.37</v>
      </c>
      <c r="I11" s="4"/>
      <c r="J11" s="48">
        <v>0.51</v>
      </c>
      <c r="K11" s="4">
        <f t="shared" si="0"/>
        <v>1.51</v>
      </c>
      <c r="L11">
        <f t="shared" si="1"/>
        <v>0.17897694729316943</v>
      </c>
      <c r="M11">
        <f t="shared" si="3"/>
        <v>5</v>
      </c>
      <c r="N11" s="23">
        <f t="shared" si="2"/>
        <v>0.125</v>
      </c>
      <c r="O11" s="47" t="s">
        <v>285</v>
      </c>
      <c r="P11" s="52">
        <f>COUNTIF(J$7:J$46,"&gt;=0.55")-COUNTIF(J$7:J$46,"&gt;0.599")</f>
        <v>6</v>
      </c>
    </row>
    <row r="12" spans="1:57" s="1" customFormat="1" x14ac:dyDescent="0.35">
      <c r="B12" s="5">
        <v>0.36</v>
      </c>
      <c r="C12" s="5">
        <v>0.39</v>
      </c>
      <c r="D12" s="5">
        <v>0.71</v>
      </c>
      <c r="E12" s="5">
        <v>0.66</v>
      </c>
      <c r="F12" s="5">
        <v>0.48</v>
      </c>
      <c r="G12" s="5"/>
      <c r="H12" s="48">
        <v>0.38</v>
      </c>
      <c r="I12" s="5"/>
      <c r="J12" s="48">
        <v>0.52</v>
      </c>
      <c r="K12" s="4">
        <f t="shared" si="0"/>
        <v>1.52</v>
      </c>
      <c r="L12">
        <f t="shared" si="1"/>
        <v>0.18184358794477254</v>
      </c>
      <c r="M12">
        <f t="shared" si="3"/>
        <v>6</v>
      </c>
      <c r="N12" s="23">
        <f t="shared" si="2"/>
        <v>0.15</v>
      </c>
      <c r="O12" s="47" t="s">
        <v>286</v>
      </c>
      <c r="P12" s="52">
        <f>COUNTIF(J$7:J$46,"&gt;=0.6")-COUNTIF(J$7:J$46,"&gt;0.649")</f>
        <v>5</v>
      </c>
      <c r="Q12"/>
      <c r="R12"/>
      <c r="S12"/>
      <c r="T12"/>
      <c r="U12"/>
      <c r="V12"/>
      <c r="W12"/>
      <c r="X12"/>
      <c r="Y12"/>
      <c r="Z12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</row>
    <row r="13" spans="1:57" x14ac:dyDescent="0.35">
      <c r="B13" s="4"/>
      <c r="C13" s="4">
        <v>0.44</v>
      </c>
      <c r="D13" s="4">
        <v>0.69</v>
      </c>
      <c r="E13" s="4">
        <v>0.79</v>
      </c>
      <c r="F13" s="4">
        <v>0.45</v>
      </c>
      <c r="G13" s="4"/>
      <c r="H13" s="48">
        <v>0.39</v>
      </c>
      <c r="I13" s="4"/>
      <c r="J13" s="48">
        <v>0.55000000000000004</v>
      </c>
      <c r="K13" s="4">
        <f t="shared" si="0"/>
        <v>1.55</v>
      </c>
      <c r="L13">
        <f t="shared" si="1"/>
        <v>0.1903316981702915</v>
      </c>
      <c r="M13">
        <f t="shared" si="3"/>
        <v>7</v>
      </c>
      <c r="N13" s="23">
        <f t="shared" si="2"/>
        <v>0.17499999999999999</v>
      </c>
      <c r="O13" s="47" t="s">
        <v>287</v>
      </c>
      <c r="P13" s="52">
        <f>COUNTIF(J$7:J$46,"&gt;=0.65")-COUNTIF(J$7:J$46,"&gt;0.699")</f>
        <v>12</v>
      </c>
    </row>
    <row r="14" spans="1:57" x14ac:dyDescent="0.35">
      <c r="B14" s="4"/>
      <c r="C14" s="4">
        <v>0.51</v>
      </c>
      <c r="D14" s="4">
        <v>0.67</v>
      </c>
      <c r="E14" s="4">
        <v>0.73</v>
      </c>
      <c r="F14" s="4">
        <v>0.4</v>
      </c>
      <c r="G14" s="4"/>
      <c r="H14" s="48">
        <v>0.4</v>
      </c>
      <c r="I14" s="4"/>
      <c r="J14" s="48">
        <v>0.56000000000000005</v>
      </c>
      <c r="K14" s="4">
        <f t="shared" si="0"/>
        <v>1.56</v>
      </c>
      <c r="L14">
        <f t="shared" si="1"/>
        <v>0.19312459835446161</v>
      </c>
      <c r="M14">
        <f t="shared" si="3"/>
        <v>8</v>
      </c>
      <c r="N14" s="23">
        <f t="shared" si="2"/>
        <v>0.2</v>
      </c>
      <c r="O14" s="47" t="s">
        <v>288</v>
      </c>
      <c r="P14" s="52">
        <f>COUNTIF(J$7:J$46,"&gt;=0.7")-COUNTIF(J$7:J$46,"&gt;0.749")</f>
        <v>6</v>
      </c>
    </row>
    <row r="15" spans="1:57" x14ac:dyDescent="0.35">
      <c r="B15" s="4"/>
      <c r="C15" s="4">
        <v>0.52</v>
      </c>
      <c r="D15" s="4">
        <v>0.71</v>
      </c>
      <c r="E15" s="4">
        <v>0.4</v>
      </c>
      <c r="F15" s="4">
        <v>0.36</v>
      </c>
      <c r="G15" s="4"/>
      <c r="H15" s="48">
        <v>0.4</v>
      </c>
      <c r="I15" s="4"/>
      <c r="J15" s="48">
        <v>0.56000000000000005</v>
      </c>
      <c r="K15" s="4">
        <f t="shared" si="0"/>
        <v>1.56</v>
      </c>
      <c r="L15">
        <f t="shared" si="1"/>
        <v>0.19312459835446161</v>
      </c>
      <c r="M15">
        <f t="shared" si="3"/>
        <v>9</v>
      </c>
      <c r="N15" s="23">
        <f t="shared" si="2"/>
        <v>0.22500000000000001</v>
      </c>
      <c r="O15" s="47" t="s">
        <v>289</v>
      </c>
      <c r="P15" s="52">
        <f>COUNTIF(J$7:J$46,"&gt;=0.75")-COUNTIF(J$7:J$46,"&gt;0.799")</f>
        <v>4</v>
      </c>
    </row>
    <row r="16" spans="1:57" x14ac:dyDescent="0.35">
      <c r="B16" s="4"/>
      <c r="C16" s="4">
        <v>0.4</v>
      </c>
      <c r="D16" s="4">
        <v>0.66</v>
      </c>
      <c r="E16" s="4">
        <v>0.57999999999999996</v>
      </c>
      <c r="F16" s="4">
        <v>0.52</v>
      </c>
      <c r="G16" s="4"/>
      <c r="H16" s="48">
        <v>0.4</v>
      </c>
      <c r="I16" s="4"/>
      <c r="J16" s="48">
        <v>0.57999999999999996</v>
      </c>
      <c r="K16" s="4">
        <f t="shared" si="0"/>
        <v>1.58</v>
      </c>
      <c r="L16">
        <f t="shared" si="1"/>
        <v>0.19865708695442263</v>
      </c>
      <c r="M16">
        <f t="shared" si="3"/>
        <v>10</v>
      </c>
      <c r="N16" s="23">
        <f t="shared" si="2"/>
        <v>0.25</v>
      </c>
      <c r="O16" s="47" t="s">
        <v>297</v>
      </c>
      <c r="P16" s="52">
        <f>COUNTIF(J$7:J$46,"&gt;=0.8")-COUNTIF(J$7:J$46,"&gt;0.849")</f>
        <v>0</v>
      </c>
    </row>
    <row r="17" spans="2:58" s="1" customFormat="1" x14ac:dyDescent="0.35">
      <c r="B17" s="5"/>
      <c r="C17" s="5">
        <v>0.46</v>
      </c>
      <c r="D17" s="5">
        <v>0.75</v>
      </c>
      <c r="E17" s="5">
        <v>0.67</v>
      </c>
      <c r="F17" s="5">
        <v>0.47</v>
      </c>
      <c r="G17" s="5"/>
      <c r="H17" s="48">
        <v>0.4</v>
      </c>
      <c r="I17" s="5"/>
      <c r="J17" s="48">
        <v>0.57999999999999996</v>
      </c>
      <c r="K17" s="4">
        <f t="shared" si="0"/>
        <v>1.58</v>
      </c>
      <c r="L17">
        <f t="shared" si="1"/>
        <v>0.19865708695442263</v>
      </c>
      <c r="M17">
        <f t="shared" si="3"/>
        <v>11</v>
      </c>
      <c r="N17" s="23">
        <f t="shared" si="2"/>
        <v>0.27500000000000002</v>
      </c>
      <c r="O17" s="47" t="s">
        <v>290</v>
      </c>
      <c r="P17" s="52">
        <f>COUNTIF(J$7:J$46,"&gt;=0.85")-COUNTIF(J$7:J$46,"&gt;0.899")</f>
        <v>1</v>
      </c>
      <c r="Q17"/>
      <c r="R17"/>
      <c r="S17"/>
      <c r="T17"/>
      <c r="U17"/>
      <c r="V17"/>
      <c r="W17"/>
      <c r="X17"/>
      <c r="Y17"/>
      <c r="Z1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</row>
    <row r="18" spans="2:58" x14ac:dyDescent="0.35">
      <c r="B18" s="4"/>
      <c r="C18" s="4">
        <v>0.37</v>
      </c>
      <c r="D18" s="4">
        <v>0.7</v>
      </c>
      <c r="E18" s="4">
        <v>0.51</v>
      </c>
      <c r="F18" s="4">
        <v>0.49</v>
      </c>
      <c r="G18" s="4"/>
      <c r="H18" s="48">
        <v>0.4</v>
      </c>
      <c r="I18" s="4"/>
      <c r="J18" s="48">
        <v>0.59</v>
      </c>
      <c r="K18" s="4">
        <f t="shared" si="0"/>
        <v>1.5899999999999999</v>
      </c>
      <c r="L18">
        <f t="shared" si="1"/>
        <v>0.20139712432045145</v>
      </c>
      <c r="M18">
        <f t="shared" si="3"/>
        <v>12</v>
      </c>
      <c r="N18" s="23">
        <f t="shared" si="2"/>
        <v>0.3</v>
      </c>
      <c r="O18" s="47" t="s">
        <v>351</v>
      </c>
      <c r="P18" s="52">
        <f>COUNTIF(J$7:J$46,"&gt;=0.9")</f>
        <v>0</v>
      </c>
    </row>
    <row r="19" spans="2:58" x14ac:dyDescent="0.35">
      <c r="B19" s="4"/>
      <c r="C19" s="4">
        <v>0.46</v>
      </c>
      <c r="D19" s="4">
        <v>0.64</v>
      </c>
      <c r="E19" s="4">
        <v>0.86</v>
      </c>
      <c r="F19" s="4">
        <v>0.48</v>
      </c>
      <c r="G19" s="4"/>
      <c r="H19" s="48">
        <v>0.42</v>
      </c>
      <c r="I19" s="4"/>
      <c r="J19" s="48">
        <v>0.6</v>
      </c>
      <c r="K19" s="4">
        <f t="shared" si="0"/>
        <v>1.6</v>
      </c>
      <c r="L19">
        <f t="shared" si="1"/>
        <v>0.20411998265592479</v>
      </c>
      <c r="M19">
        <f t="shared" si="3"/>
        <v>13</v>
      </c>
      <c r="N19" s="23">
        <f t="shared" si="2"/>
        <v>0.32500000000000001</v>
      </c>
    </row>
    <row r="20" spans="2:58" x14ac:dyDescent="0.35">
      <c r="B20" s="4"/>
      <c r="C20" s="4">
        <v>0.42</v>
      </c>
      <c r="D20" s="4">
        <v>0.66</v>
      </c>
      <c r="E20" s="4">
        <v>0.63</v>
      </c>
      <c r="F20" s="4"/>
      <c r="G20" s="4"/>
      <c r="H20" s="48">
        <v>0.42</v>
      </c>
      <c r="I20" s="4"/>
      <c r="J20" s="48">
        <v>0.61</v>
      </c>
      <c r="K20" s="4">
        <f t="shared" si="0"/>
        <v>1.6099999999999999</v>
      </c>
      <c r="L20">
        <f t="shared" si="1"/>
        <v>0.20682587603184968</v>
      </c>
      <c r="M20">
        <f t="shared" si="3"/>
        <v>14</v>
      </c>
      <c r="N20" s="23">
        <f t="shared" si="2"/>
        <v>0.35</v>
      </c>
    </row>
    <row r="21" spans="2:58" ht="15" x14ac:dyDescent="0.4">
      <c r="B21" s="6">
        <f>SUM(B7:B12)/6</f>
        <v>0.26499999999999996</v>
      </c>
      <c r="C21" s="4">
        <v>0.52</v>
      </c>
      <c r="D21" s="4">
        <v>0.62</v>
      </c>
      <c r="E21" s="4">
        <v>0.68</v>
      </c>
      <c r="F21" s="4"/>
      <c r="G21" s="4"/>
      <c r="H21" s="48">
        <v>0.42</v>
      </c>
      <c r="I21" s="4"/>
      <c r="J21" s="48">
        <v>0.62</v>
      </c>
      <c r="K21" s="4">
        <f t="shared" si="0"/>
        <v>1.62</v>
      </c>
      <c r="L21">
        <f t="shared" si="1"/>
        <v>0.20951501454263097</v>
      </c>
      <c r="M21">
        <f t="shared" si="3"/>
        <v>15</v>
      </c>
      <c r="N21" s="23">
        <f t="shared" si="2"/>
        <v>0.375</v>
      </c>
    </row>
    <row r="22" spans="2:58" s="1" customFormat="1" x14ac:dyDescent="0.35">
      <c r="B22" s="5"/>
      <c r="C22" s="5">
        <v>0.55000000000000004</v>
      </c>
      <c r="D22" s="5">
        <v>0.6</v>
      </c>
      <c r="E22" s="5">
        <v>0.55000000000000004</v>
      </c>
      <c r="F22" s="5"/>
      <c r="G22" s="5"/>
      <c r="H22" s="48">
        <v>0.43</v>
      </c>
      <c r="I22" s="5"/>
      <c r="J22" s="48">
        <v>0.63</v>
      </c>
      <c r="K22" s="4">
        <f t="shared" si="0"/>
        <v>1.63</v>
      </c>
      <c r="L22">
        <f t="shared" si="1"/>
        <v>0.21218760440395779</v>
      </c>
      <c r="M22">
        <f t="shared" si="3"/>
        <v>16</v>
      </c>
      <c r="N22" s="23">
        <f t="shared" si="2"/>
        <v>0.4</v>
      </c>
      <c r="O22" s="47"/>
      <c r="P22"/>
      <c r="Q22"/>
      <c r="R22"/>
      <c r="S22"/>
      <c r="T22"/>
      <c r="U22"/>
      <c r="V22"/>
      <c r="W22"/>
      <c r="X22"/>
      <c r="Y22"/>
      <c r="Z22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</row>
    <row r="23" spans="2:58" x14ac:dyDescent="0.35">
      <c r="B23" s="4"/>
      <c r="C23" s="4">
        <v>0.55000000000000004</v>
      </c>
      <c r="D23" s="4">
        <v>0.65</v>
      </c>
      <c r="E23" s="4">
        <v>0.57999999999999996</v>
      </c>
      <c r="F23" s="4"/>
      <c r="G23" s="4"/>
      <c r="H23" s="48">
        <v>0.43</v>
      </c>
      <c r="I23" s="4"/>
      <c r="J23" s="48">
        <v>0.64</v>
      </c>
      <c r="K23" s="4">
        <f t="shared" si="0"/>
        <v>1.6400000000000001</v>
      </c>
      <c r="L23">
        <f t="shared" si="1"/>
        <v>0.21484384804769791</v>
      </c>
      <c r="M23">
        <f t="shared" si="3"/>
        <v>17</v>
      </c>
      <c r="N23" s="23">
        <f t="shared" si="2"/>
        <v>0.42499999999999999</v>
      </c>
    </row>
    <row r="24" spans="2:58" x14ac:dyDescent="0.35">
      <c r="B24" s="4"/>
      <c r="C24" s="4">
        <v>0.47</v>
      </c>
      <c r="D24" s="4">
        <v>0.71</v>
      </c>
      <c r="E24" s="4">
        <v>0.61</v>
      </c>
      <c r="F24" s="4"/>
      <c r="G24" s="4"/>
      <c r="H24" s="48">
        <v>0.44</v>
      </c>
      <c r="I24" s="4"/>
      <c r="J24" s="48">
        <v>0.65</v>
      </c>
      <c r="K24" s="4">
        <f t="shared" si="0"/>
        <v>1.65</v>
      </c>
      <c r="L24">
        <f t="shared" si="1"/>
        <v>0.21748394421390627</v>
      </c>
      <c r="M24">
        <f t="shared" si="3"/>
        <v>18</v>
      </c>
      <c r="N24" s="23">
        <f t="shared" si="2"/>
        <v>0.45</v>
      </c>
    </row>
    <row r="25" spans="2:58" x14ac:dyDescent="0.35">
      <c r="B25" s="4"/>
      <c r="C25" s="4">
        <v>0.42</v>
      </c>
      <c r="D25" s="4">
        <v>0.66</v>
      </c>
      <c r="E25" s="4"/>
      <c r="F25" s="4"/>
      <c r="G25" s="4"/>
      <c r="H25" s="48">
        <v>0.44</v>
      </c>
      <c r="I25" s="4"/>
      <c r="J25" s="48">
        <v>0.65</v>
      </c>
      <c r="K25" s="4">
        <f t="shared" si="0"/>
        <v>1.65</v>
      </c>
      <c r="L25">
        <f t="shared" si="1"/>
        <v>0.21748394421390627</v>
      </c>
      <c r="M25">
        <f t="shared" si="3"/>
        <v>19</v>
      </c>
      <c r="N25" s="23">
        <f t="shared" si="2"/>
        <v>0.47499999999999998</v>
      </c>
    </row>
    <row r="26" spans="2:58" x14ac:dyDescent="0.35">
      <c r="B26" s="4"/>
      <c r="C26" s="4">
        <v>0.37</v>
      </c>
      <c r="D26" s="4">
        <v>0.52</v>
      </c>
      <c r="E26" s="4"/>
      <c r="F26" s="4"/>
      <c r="G26" s="4"/>
      <c r="H26" s="48">
        <v>0.45</v>
      </c>
      <c r="I26" s="4"/>
      <c r="J26" s="48">
        <v>0.66</v>
      </c>
      <c r="K26" s="4">
        <f t="shared" si="0"/>
        <v>1.6600000000000001</v>
      </c>
      <c r="L26">
        <f t="shared" si="1"/>
        <v>0.22010808804005513</v>
      </c>
      <c r="M26">
        <f t="shared" si="3"/>
        <v>20</v>
      </c>
      <c r="N26" s="23">
        <f t="shared" si="2"/>
        <v>0.5</v>
      </c>
    </row>
    <row r="27" spans="2:58" x14ac:dyDescent="0.35">
      <c r="B27" s="4"/>
      <c r="C27" s="4">
        <v>0.62</v>
      </c>
      <c r="D27" s="4">
        <v>0.51</v>
      </c>
      <c r="E27" s="4"/>
      <c r="F27" s="4"/>
      <c r="G27" s="4"/>
      <c r="H27" s="48">
        <v>0.46</v>
      </c>
      <c r="I27" s="4"/>
      <c r="J27" s="48">
        <v>0.66</v>
      </c>
      <c r="K27" s="4">
        <f t="shared" si="0"/>
        <v>1.6600000000000001</v>
      </c>
      <c r="L27">
        <f t="shared" si="1"/>
        <v>0.22010808804005513</v>
      </c>
      <c r="M27">
        <f t="shared" si="3"/>
        <v>21</v>
      </c>
      <c r="N27" s="23">
        <f t="shared" si="2"/>
        <v>0.52500000000000002</v>
      </c>
    </row>
    <row r="28" spans="2:58" x14ac:dyDescent="0.35">
      <c r="B28" s="4"/>
      <c r="C28" s="4">
        <v>0.43</v>
      </c>
      <c r="D28" s="4">
        <v>0.59</v>
      </c>
      <c r="E28" s="4"/>
      <c r="F28" s="4"/>
      <c r="G28" s="4"/>
      <c r="H28" s="48">
        <v>0.46</v>
      </c>
      <c r="I28" s="4"/>
      <c r="J28" s="48">
        <v>0.66</v>
      </c>
      <c r="K28" s="4">
        <f t="shared" si="0"/>
        <v>1.6600000000000001</v>
      </c>
      <c r="L28">
        <f t="shared" si="1"/>
        <v>0.22010808804005513</v>
      </c>
      <c r="M28">
        <f t="shared" si="3"/>
        <v>22</v>
      </c>
      <c r="N28" s="23">
        <f t="shared" si="2"/>
        <v>0.55000000000000004</v>
      </c>
    </row>
    <row r="29" spans="2:58" x14ac:dyDescent="0.35">
      <c r="B29" s="4"/>
      <c r="C29" s="4">
        <v>0.38</v>
      </c>
      <c r="D29" s="4"/>
      <c r="E29" s="4"/>
      <c r="F29" s="4"/>
      <c r="G29" s="4"/>
      <c r="H29" s="48">
        <v>0.46</v>
      </c>
      <c r="I29" s="4"/>
      <c r="J29" s="48">
        <v>0.66</v>
      </c>
      <c r="K29" s="4">
        <f t="shared" si="0"/>
        <v>1.6600000000000001</v>
      </c>
      <c r="L29">
        <f t="shared" si="1"/>
        <v>0.22010808804005513</v>
      </c>
      <c r="M29">
        <f t="shared" si="3"/>
        <v>23</v>
      </c>
      <c r="N29" s="23">
        <f t="shared" si="2"/>
        <v>0.57499999999999996</v>
      </c>
    </row>
    <row r="30" spans="2:58" ht="15" x14ac:dyDescent="0.4">
      <c r="B30" s="4"/>
      <c r="C30" s="4">
        <v>0.48</v>
      </c>
      <c r="D30" s="6">
        <f>SUM(D7:D28)/22</f>
        <v>0.64909090909090905</v>
      </c>
      <c r="E30" s="6">
        <f>SUM(E7:E24)/18</f>
        <v>0.62777777777777777</v>
      </c>
      <c r="F30" s="6">
        <f>SUM(F7:F19)/13</f>
        <v>0.4661538461538462</v>
      </c>
      <c r="G30" s="4"/>
      <c r="H30" s="48">
        <v>0.47</v>
      </c>
      <c r="I30" s="4"/>
      <c r="J30" s="48">
        <v>0.66</v>
      </c>
      <c r="K30" s="4">
        <f t="shared" si="0"/>
        <v>1.6600000000000001</v>
      </c>
      <c r="L30">
        <f t="shared" si="1"/>
        <v>0.22010808804005513</v>
      </c>
      <c r="M30">
        <f t="shared" si="3"/>
        <v>24</v>
      </c>
      <c r="N30" s="23">
        <f t="shared" si="2"/>
        <v>0.6</v>
      </c>
    </row>
    <row r="31" spans="2:58" x14ac:dyDescent="0.35">
      <c r="B31" s="4"/>
      <c r="C31" s="4">
        <v>0.37</v>
      </c>
      <c r="D31" s="4"/>
      <c r="E31" s="4"/>
      <c r="F31" s="4"/>
      <c r="G31" s="4"/>
      <c r="H31" s="48">
        <v>0.47</v>
      </c>
      <c r="I31" s="4"/>
      <c r="J31" s="48">
        <v>0.67</v>
      </c>
      <c r="K31" s="4">
        <f t="shared" si="0"/>
        <v>1.67</v>
      </c>
      <c r="L31">
        <f t="shared" si="1"/>
        <v>0.22271647114758325</v>
      </c>
      <c r="M31">
        <f t="shared" si="3"/>
        <v>25</v>
      </c>
      <c r="N31" s="23">
        <f t="shared" si="2"/>
        <v>0.625</v>
      </c>
    </row>
    <row r="32" spans="2:58" x14ac:dyDescent="0.35">
      <c r="B32" s="4"/>
      <c r="C32" s="4">
        <v>0.46</v>
      </c>
      <c r="D32" s="4"/>
      <c r="E32" s="4"/>
      <c r="F32" s="4"/>
      <c r="G32" s="4"/>
      <c r="H32" s="48">
        <v>0.48</v>
      </c>
      <c r="I32" s="4"/>
      <c r="J32" s="48">
        <v>0.67</v>
      </c>
      <c r="K32" s="4">
        <f t="shared" si="0"/>
        <v>1.67</v>
      </c>
      <c r="L32">
        <f t="shared" si="1"/>
        <v>0.22271647114758325</v>
      </c>
      <c r="M32">
        <f t="shared" si="3"/>
        <v>26</v>
      </c>
      <c r="N32" s="23">
        <f t="shared" si="2"/>
        <v>0.65</v>
      </c>
    </row>
    <row r="33" spans="2:14" x14ac:dyDescent="0.35">
      <c r="B33" s="4"/>
      <c r="C33" s="4">
        <v>0.49</v>
      </c>
      <c r="D33" s="4"/>
      <c r="E33" s="4"/>
      <c r="F33" s="4"/>
      <c r="G33" s="4"/>
      <c r="H33" s="48">
        <v>0.48</v>
      </c>
      <c r="I33" s="4"/>
      <c r="J33" s="48">
        <v>0.67</v>
      </c>
      <c r="K33" s="4">
        <f t="shared" si="0"/>
        <v>1.67</v>
      </c>
      <c r="L33">
        <f t="shared" si="1"/>
        <v>0.22271647114758325</v>
      </c>
      <c r="M33">
        <f t="shared" si="3"/>
        <v>27</v>
      </c>
      <c r="N33" s="23">
        <f t="shared" si="2"/>
        <v>0.67500000000000004</v>
      </c>
    </row>
    <row r="34" spans="2:14" x14ac:dyDescent="0.35">
      <c r="B34" s="4"/>
      <c r="C34" s="4">
        <v>0.52</v>
      </c>
      <c r="D34" s="4"/>
      <c r="E34" s="4"/>
      <c r="F34" s="4"/>
      <c r="G34" s="4"/>
      <c r="H34" s="48">
        <v>0.48</v>
      </c>
      <c r="I34" s="4"/>
      <c r="J34" s="48">
        <v>0.68</v>
      </c>
      <c r="K34" s="4">
        <f t="shared" si="0"/>
        <v>1.6800000000000002</v>
      </c>
      <c r="L34">
        <f t="shared" si="1"/>
        <v>0.2253092817258629</v>
      </c>
      <c r="M34">
        <f t="shared" si="3"/>
        <v>28</v>
      </c>
      <c r="N34" s="23">
        <f t="shared" si="2"/>
        <v>0.7</v>
      </c>
    </row>
    <row r="35" spans="2:14" x14ac:dyDescent="0.35">
      <c r="B35" s="4"/>
      <c r="C35" s="4">
        <v>0.43</v>
      </c>
      <c r="D35" s="4"/>
      <c r="E35" s="4"/>
      <c r="F35" s="4"/>
      <c r="G35" s="4"/>
      <c r="H35" s="48">
        <v>0.49</v>
      </c>
      <c r="I35" s="4"/>
      <c r="J35" s="48">
        <v>0.69</v>
      </c>
      <c r="K35" s="4">
        <f t="shared" si="0"/>
        <v>1.69</v>
      </c>
      <c r="L35">
        <f t="shared" si="1"/>
        <v>0.22788670461367352</v>
      </c>
      <c r="M35">
        <f t="shared" si="3"/>
        <v>29</v>
      </c>
      <c r="N35" s="23">
        <f t="shared" si="2"/>
        <v>0.72499999999999998</v>
      </c>
    </row>
    <row r="36" spans="2:14" x14ac:dyDescent="0.35">
      <c r="B36" s="4"/>
      <c r="C36" s="4">
        <v>0.57999999999999996</v>
      </c>
      <c r="D36" s="4"/>
      <c r="E36" s="4"/>
      <c r="F36" s="4"/>
      <c r="G36" s="4"/>
      <c r="H36" s="48">
        <v>0.49</v>
      </c>
      <c r="I36" s="4"/>
      <c r="J36" s="48">
        <v>0.7</v>
      </c>
      <c r="K36" s="4">
        <f t="shared" si="0"/>
        <v>1.7</v>
      </c>
      <c r="L36">
        <f t="shared" si="1"/>
        <v>0.23044892137827391</v>
      </c>
      <c r="M36">
        <f t="shared" si="3"/>
        <v>30</v>
      </c>
      <c r="N36" s="23">
        <f t="shared" si="2"/>
        <v>0.75</v>
      </c>
    </row>
    <row r="37" spans="2:14" x14ac:dyDescent="0.35">
      <c r="B37" s="4"/>
      <c r="C37" s="4">
        <v>0.33</v>
      </c>
      <c r="D37" s="4"/>
      <c r="E37" s="4"/>
      <c r="F37" s="4"/>
      <c r="G37" s="4"/>
      <c r="H37" s="48">
        <v>0.5</v>
      </c>
      <c r="I37" s="4"/>
      <c r="J37" s="48">
        <v>0.71</v>
      </c>
      <c r="K37" s="4">
        <f t="shared" si="0"/>
        <v>1.71</v>
      </c>
      <c r="L37">
        <f t="shared" si="1"/>
        <v>0.23299611039215382</v>
      </c>
      <c r="M37">
        <f t="shared" si="3"/>
        <v>31</v>
      </c>
      <c r="N37" s="23">
        <f t="shared" si="2"/>
        <v>0.77500000000000002</v>
      </c>
    </row>
    <row r="38" spans="2:14" x14ac:dyDescent="0.35">
      <c r="B38" s="4"/>
      <c r="C38" s="4">
        <v>0.5</v>
      </c>
      <c r="D38" s="4"/>
      <c r="E38" s="4"/>
      <c r="F38" s="4"/>
      <c r="G38" s="4"/>
      <c r="H38" s="48">
        <v>0.5</v>
      </c>
      <c r="I38" s="4"/>
      <c r="J38" s="48">
        <v>0.71</v>
      </c>
      <c r="K38" s="4">
        <f t="shared" si="0"/>
        <v>1.71</v>
      </c>
      <c r="L38">
        <f t="shared" si="1"/>
        <v>0.23299611039215382</v>
      </c>
      <c r="M38">
        <f t="shared" si="3"/>
        <v>32</v>
      </c>
      <c r="N38" s="23">
        <f t="shared" si="2"/>
        <v>0.8</v>
      </c>
    </row>
    <row r="39" spans="2:14" x14ac:dyDescent="0.35">
      <c r="B39" s="4"/>
      <c r="C39" s="4">
        <v>0.4</v>
      </c>
      <c r="D39" s="4"/>
      <c r="E39" s="4"/>
      <c r="F39" s="4"/>
      <c r="G39" s="4"/>
      <c r="H39" s="48">
        <v>0.5</v>
      </c>
      <c r="I39" s="4"/>
      <c r="J39" s="48">
        <v>0.71</v>
      </c>
      <c r="K39" s="4">
        <f t="shared" si="0"/>
        <v>1.71</v>
      </c>
      <c r="L39">
        <f t="shared" si="1"/>
        <v>0.23299611039215382</v>
      </c>
      <c r="M39">
        <f t="shared" si="3"/>
        <v>33</v>
      </c>
      <c r="N39" s="23">
        <f t="shared" si="2"/>
        <v>0.82499999999999996</v>
      </c>
    </row>
    <row r="40" spans="2:14" x14ac:dyDescent="0.35">
      <c r="B40" s="4"/>
      <c r="C40" s="4"/>
      <c r="D40" s="4"/>
      <c r="E40" s="4"/>
      <c r="F40" s="4"/>
      <c r="G40" s="4"/>
      <c r="H40" s="48">
        <v>0.51</v>
      </c>
      <c r="I40" s="4"/>
      <c r="J40" s="48">
        <v>0.72</v>
      </c>
      <c r="K40" s="4">
        <f t="shared" si="0"/>
        <v>1.72</v>
      </c>
      <c r="L40">
        <f t="shared" si="1"/>
        <v>0.2355284469075489</v>
      </c>
      <c r="M40">
        <f t="shared" si="3"/>
        <v>34</v>
      </c>
      <c r="N40" s="23">
        <f t="shared" si="2"/>
        <v>0.85</v>
      </c>
    </row>
    <row r="41" spans="2:14" ht="15" x14ac:dyDescent="0.4">
      <c r="B41" s="4"/>
      <c r="C41" s="6">
        <f>SUM(C7:C39)/33</f>
        <v>0.46030303030303032</v>
      </c>
      <c r="D41" s="4"/>
      <c r="E41" s="4"/>
      <c r="F41" s="4"/>
      <c r="G41" s="4"/>
      <c r="H41" s="48">
        <v>0.51</v>
      </c>
      <c r="I41" s="4"/>
      <c r="J41" s="48">
        <v>0.73</v>
      </c>
      <c r="K41" s="4">
        <f t="shared" si="0"/>
        <v>1.73</v>
      </c>
      <c r="L41">
        <f t="shared" si="1"/>
        <v>0.2380461031287954</v>
      </c>
      <c r="M41">
        <f t="shared" si="3"/>
        <v>35</v>
      </c>
      <c r="N41" s="23">
        <f t="shared" si="2"/>
        <v>0.875</v>
      </c>
    </row>
    <row r="42" spans="2:14" x14ac:dyDescent="0.35">
      <c r="B42" s="4"/>
      <c r="C42" s="4"/>
      <c r="D42" s="4"/>
      <c r="E42" s="4"/>
      <c r="F42" s="4"/>
      <c r="G42" s="4"/>
      <c r="H42" s="48">
        <v>0.52</v>
      </c>
      <c r="I42" s="4"/>
      <c r="J42" s="48">
        <v>0.75</v>
      </c>
      <c r="K42" s="4">
        <f t="shared" si="0"/>
        <v>1.75</v>
      </c>
      <c r="L42">
        <f t="shared" si="1"/>
        <v>0.24303804868629444</v>
      </c>
      <c r="M42">
        <f t="shared" si="3"/>
        <v>36</v>
      </c>
      <c r="N42" s="23">
        <f t="shared" si="2"/>
        <v>0.9</v>
      </c>
    </row>
    <row r="43" spans="2:14" x14ac:dyDescent="0.35">
      <c r="B43" s="4"/>
      <c r="C43" s="4"/>
      <c r="D43" s="4"/>
      <c r="E43" s="4"/>
      <c r="F43" s="4"/>
      <c r="G43" s="4"/>
      <c r="H43" s="48">
        <v>0.52</v>
      </c>
      <c r="I43" s="4"/>
      <c r="J43" s="48">
        <v>0.77</v>
      </c>
      <c r="K43" s="4">
        <f t="shared" si="0"/>
        <v>1.77</v>
      </c>
      <c r="L43">
        <f t="shared" si="1"/>
        <v>0.24797326636180664</v>
      </c>
      <c r="M43">
        <f t="shared" si="3"/>
        <v>37</v>
      </c>
      <c r="N43" s="23">
        <f t="shared" si="2"/>
        <v>0.92500000000000004</v>
      </c>
    </row>
    <row r="44" spans="2:14" x14ac:dyDescent="0.35">
      <c r="B44" s="4"/>
      <c r="C44" s="4"/>
      <c r="D44" s="4"/>
      <c r="E44" s="4"/>
      <c r="F44" s="4"/>
      <c r="G44" s="4"/>
      <c r="H44" s="48">
        <v>0.52</v>
      </c>
      <c r="I44" s="4"/>
      <c r="J44" s="48">
        <v>0.78</v>
      </c>
      <c r="K44" s="4">
        <f t="shared" si="0"/>
        <v>1.78</v>
      </c>
      <c r="L44">
        <f t="shared" si="1"/>
        <v>0.250420002308894</v>
      </c>
      <c r="M44">
        <f t="shared" si="3"/>
        <v>38</v>
      </c>
      <c r="N44" s="23">
        <f t="shared" si="2"/>
        <v>0.95</v>
      </c>
    </row>
    <row r="45" spans="2:14" x14ac:dyDescent="0.35">
      <c r="B45" s="4"/>
      <c r="C45" s="4"/>
      <c r="D45" s="4"/>
      <c r="E45" s="4"/>
      <c r="F45" s="4"/>
      <c r="G45" s="4"/>
      <c r="H45" s="48">
        <v>0.52</v>
      </c>
      <c r="I45" s="4"/>
      <c r="J45" s="48">
        <v>0.79</v>
      </c>
      <c r="K45" s="4">
        <f t="shared" si="0"/>
        <v>1.79</v>
      </c>
      <c r="L45">
        <f t="shared" si="1"/>
        <v>0.2528530309798932</v>
      </c>
      <c r="M45">
        <f t="shared" si="3"/>
        <v>39</v>
      </c>
      <c r="N45" s="23">
        <f t="shared" si="2"/>
        <v>0.97499999999999998</v>
      </c>
    </row>
    <row r="46" spans="2:14" x14ac:dyDescent="0.35">
      <c r="B46" s="4"/>
      <c r="C46" s="4"/>
      <c r="D46" s="4"/>
      <c r="E46" s="4"/>
      <c r="F46" s="4"/>
      <c r="G46" s="4"/>
      <c r="H46" s="48">
        <v>0.52</v>
      </c>
      <c r="I46" s="4"/>
      <c r="J46" s="48">
        <v>0.86</v>
      </c>
      <c r="K46" s="4">
        <f t="shared" si="0"/>
        <v>1.8599999999999999</v>
      </c>
      <c r="L46">
        <f t="shared" si="1"/>
        <v>0.26951294421791627</v>
      </c>
      <c r="M46">
        <f t="shared" si="3"/>
        <v>40</v>
      </c>
      <c r="N46" s="23">
        <f t="shared" si="2"/>
        <v>1</v>
      </c>
    </row>
    <row r="47" spans="2:14" x14ac:dyDescent="0.35">
      <c r="B47" s="4"/>
      <c r="C47" s="4"/>
      <c r="D47" s="4"/>
      <c r="E47" s="4"/>
      <c r="F47" s="4"/>
      <c r="G47" s="4"/>
      <c r="H47" s="48">
        <v>0.53</v>
      </c>
      <c r="I47" s="4"/>
      <c r="J47" s="48"/>
      <c r="K47" s="4"/>
      <c r="L47" s="4"/>
      <c r="M47" s="4"/>
      <c r="N47" s="4"/>
    </row>
    <row r="48" spans="2:14" x14ac:dyDescent="0.35">
      <c r="B48" s="4"/>
      <c r="C48" s="4"/>
      <c r="D48" s="4"/>
      <c r="E48" s="4"/>
      <c r="F48" s="4"/>
      <c r="G48" s="4"/>
      <c r="H48" s="48">
        <v>0.54</v>
      </c>
      <c r="I48" s="4"/>
      <c r="J48" s="48"/>
      <c r="K48" s="4"/>
      <c r="L48" s="4"/>
      <c r="M48" s="4"/>
      <c r="N48" s="4"/>
    </row>
    <row r="49" spans="2:14" x14ac:dyDescent="0.35">
      <c r="B49" s="4"/>
      <c r="C49" s="4"/>
      <c r="D49" s="4"/>
      <c r="E49" s="4"/>
      <c r="F49" s="4"/>
      <c r="G49" s="4"/>
      <c r="H49" s="48">
        <v>0.55000000000000004</v>
      </c>
      <c r="I49" s="4"/>
      <c r="J49" s="48"/>
      <c r="K49" s="4"/>
      <c r="L49" s="4"/>
      <c r="M49" s="4"/>
      <c r="N49" s="4"/>
    </row>
    <row r="50" spans="2:14" x14ac:dyDescent="0.35">
      <c r="B50" s="4"/>
      <c r="C50" s="4"/>
      <c r="D50" s="4"/>
      <c r="E50" s="4"/>
      <c r="F50" s="4"/>
      <c r="G50" s="4"/>
      <c r="H50" s="48">
        <v>0.55000000000000004</v>
      </c>
      <c r="I50" s="4"/>
      <c r="J50" s="48"/>
      <c r="K50" s="4"/>
      <c r="L50" s="4"/>
      <c r="M50" s="4"/>
      <c r="N50" s="4"/>
    </row>
    <row r="51" spans="2:14" x14ac:dyDescent="0.35">
      <c r="B51" s="4"/>
      <c r="C51" s="4"/>
      <c r="D51" s="4"/>
      <c r="E51" s="4"/>
      <c r="F51" s="4"/>
      <c r="G51" s="4"/>
      <c r="H51" s="48">
        <v>0.57999999999999996</v>
      </c>
      <c r="I51" s="4"/>
      <c r="J51" s="48"/>
      <c r="L51" s="4"/>
      <c r="M51" s="4"/>
      <c r="N51" s="4"/>
    </row>
    <row r="52" spans="2:14" x14ac:dyDescent="0.35">
      <c r="B52" s="4"/>
      <c r="C52" s="4"/>
      <c r="D52" s="4"/>
      <c r="E52" s="4"/>
      <c r="F52" s="4"/>
      <c r="G52" s="4"/>
      <c r="H52" s="48">
        <v>0.62</v>
      </c>
      <c r="I52" s="4"/>
      <c r="J52" s="48"/>
      <c r="L52" s="4"/>
      <c r="M52" s="4"/>
      <c r="N52" s="4"/>
    </row>
    <row r="53" spans="2:14" x14ac:dyDescent="0.35">
      <c r="B53" s="4"/>
      <c r="C53" s="4"/>
      <c r="D53" s="4"/>
      <c r="E53" s="4"/>
      <c r="F53" s="4"/>
      <c r="G53" s="4"/>
      <c r="H53" s="4"/>
      <c r="I53" s="4"/>
      <c r="J53" s="48"/>
      <c r="K53" s="4"/>
      <c r="L53" s="4"/>
      <c r="M53" s="4"/>
      <c r="N53" s="4"/>
    </row>
    <row r="54" spans="2:14" x14ac:dyDescent="0.35">
      <c r="B54" s="4"/>
      <c r="C54" s="4"/>
      <c r="D54" s="4"/>
      <c r="E54" s="4"/>
      <c r="F54" s="4"/>
      <c r="G54" s="4"/>
      <c r="H54" s="4"/>
      <c r="I54" s="4"/>
      <c r="J54" s="48"/>
      <c r="K54" s="4"/>
      <c r="L54" s="4"/>
      <c r="M54" s="4"/>
      <c r="N54" s="4"/>
    </row>
    <row r="55" spans="2:14" x14ac:dyDescent="0.35">
      <c r="B55" s="4"/>
      <c r="C55" s="4"/>
      <c r="D55" s="4"/>
      <c r="E55" s="4"/>
      <c r="F55" s="4"/>
      <c r="G55" s="4"/>
      <c r="H55" s="4"/>
      <c r="I55" s="4"/>
      <c r="J55" s="48"/>
      <c r="K55" s="4"/>
      <c r="L55" s="4"/>
      <c r="M55" s="4"/>
      <c r="N55" s="4"/>
    </row>
    <row r="56" spans="2:14" x14ac:dyDescent="0.35">
      <c r="B56" s="4"/>
      <c r="C56" s="4"/>
      <c r="D56" s="4"/>
      <c r="E56" s="4"/>
      <c r="F56" s="4"/>
      <c r="G56" s="4"/>
      <c r="H56" s="4"/>
      <c r="I56" s="4"/>
      <c r="J56" s="48"/>
      <c r="K56" s="4"/>
      <c r="L56" s="4"/>
      <c r="M56" s="4"/>
      <c r="N56" s="4"/>
    </row>
    <row r="57" spans="2:14" x14ac:dyDescent="0.35">
      <c r="B57" s="4"/>
      <c r="C57" s="4"/>
      <c r="D57" s="4"/>
      <c r="E57" s="4"/>
      <c r="F57" s="4"/>
      <c r="G57" s="4"/>
      <c r="H57" s="4"/>
      <c r="I57" s="4"/>
      <c r="J57" s="48"/>
      <c r="K57" s="4"/>
      <c r="L57" s="4"/>
      <c r="M57" s="4"/>
      <c r="N57" s="4"/>
    </row>
    <row r="58" spans="2:14" x14ac:dyDescent="0.35">
      <c r="B58" s="4"/>
      <c r="C58" s="4"/>
      <c r="D58" s="4"/>
      <c r="E58" s="4"/>
      <c r="F58" s="4"/>
      <c r="G58" s="4"/>
      <c r="H58" s="4"/>
      <c r="I58" s="4"/>
      <c r="J58" s="48"/>
      <c r="K58" s="4"/>
      <c r="L58" s="4"/>
      <c r="M58" s="4"/>
      <c r="N58" s="4"/>
    </row>
    <row r="59" spans="2:14" x14ac:dyDescent="0.35">
      <c r="B59" s="4"/>
      <c r="C59" s="4"/>
      <c r="D59" s="4"/>
      <c r="E59" s="4"/>
      <c r="F59" s="4"/>
      <c r="G59" s="4"/>
      <c r="H59" s="4"/>
      <c r="I59" s="4"/>
      <c r="J59" s="48"/>
      <c r="K59" s="4"/>
      <c r="L59" s="4"/>
      <c r="M59" s="4"/>
      <c r="N59" s="4"/>
    </row>
    <row r="60" spans="2:14" x14ac:dyDescent="0.35">
      <c r="B60" s="4"/>
      <c r="C60" s="4"/>
      <c r="D60" s="4"/>
      <c r="E60" s="4"/>
      <c r="F60" s="4"/>
      <c r="G60" s="4"/>
      <c r="H60" s="4"/>
      <c r="I60" s="4"/>
      <c r="J60" s="48"/>
      <c r="K60" s="4"/>
      <c r="L60" s="4"/>
      <c r="M60" s="4"/>
      <c r="N60" s="4"/>
    </row>
    <row r="61" spans="2:14" x14ac:dyDescent="0.35">
      <c r="B61" s="4"/>
      <c r="C61" s="4"/>
      <c r="D61" s="4"/>
      <c r="E61" s="4"/>
      <c r="F61" s="4"/>
      <c r="G61" s="4"/>
      <c r="H61" s="4"/>
      <c r="I61" s="4"/>
      <c r="J61" s="48"/>
      <c r="K61" s="4"/>
      <c r="L61" s="4"/>
      <c r="M61" s="4"/>
      <c r="N61" s="4"/>
    </row>
    <row r="62" spans="2:14" x14ac:dyDescent="0.35">
      <c r="B62" s="4"/>
      <c r="C62" s="4"/>
      <c r="D62" s="4"/>
      <c r="E62" s="4"/>
      <c r="F62" s="4"/>
      <c r="G62" s="4"/>
      <c r="H62" s="4"/>
      <c r="I62" s="4"/>
      <c r="J62" s="48"/>
      <c r="K62" s="4"/>
      <c r="L62" s="4"/>
      <c r="M62" s="4"/>
      <c r="N62" s="4"/>
    </row>
    <row r="63" spans="2:14" x14ac:dyDescent="0.35">
      <c r="B63" s="4"/>
      <c r="C63" s="4"/>
      <c r="D63" s="4"/>
      <c r="E63" s="4"/>
      <c r="F63" s="4"/>
      <c r="G63" s="4"/>
      <c r="H63" s="4"/>
      <c r="I63" s="4"/>
      <c r="J63" s="48"/>
      <c r="K63" s="4"/>
      <c r="L63" s="4"/>
      <c r="M63" s="4"/>
      <c r="N63" s="4"/>
    </row>
    <row r="64" spans="2:14" x14ac:dyDescent="0.35">
      <c r="B64" s="4"/>
      <c r="C64" s="4"/>
      <c r="D64" s="4"/>
      <c r="E64" s="4"/>
      <c r="F64" s="4"/>
      <c r="G64" s="4"/>
      <c r="H64" s="4"/>
      <c r="I64" s="4"/>
      <c r="J64" s="48"/>
      <c r="K64" s="4"/>
      <c r="L64" s="4"/>
      <c r="M64" s="4"/>
      <c r="N64" s="4"/>
    </row>
    <row r="65" spans="2:14" x14ac:dyDescent="0.35">
      <c r="B65" s="4"/>
      <c r="C65" s="4"/>
      <c r="D65" s="4"/>
      <c r="E65" s="4"/>
      <c r="F65" s="4"/>
      <c r="G65" s="4"/>
      <c r="H65" s="4"/>
      <c r="I65" s="4"/>
      <c r="J65" s="48"/>
      <c r="K65" s="4"/>
      <c r="L65" s="4"/>
      <c r="M65" s="4"/>
      <c r="N65" s="4"/>
    </row>
    <row r="66" spans="2:14" x14ac:dyDescent="0.35">
      <c r="B66" s="4"/>
      <c r="C66" s="4"/>
      <c r="D66" s="4"/>
      <c r="E66" s="4"/>
      <c r="F66" s="4"/>
      <c r="G66" s="4"/>
      <c r="H66" s="4"/>
      <c r="I66" s="4"/>
      <c r="J66" s="48"/>
      <c r="K66" s="4"/>
      <c r="L66" s="4"/>
      <c r="M66" s="4"/>
      <c r="N66" s="4"/>
    </row>
    <row r="67" spans="2:14" x14ac:dyDescent="0.35">
      <c r="B67" s="4"/>
      <c r="C67" s="4"/>
      <c r="D67" s="4"/>
      <c r="E67" s="4"/>
      <c r="F67" s="4"/>
      <c r="G67" s="4"/>
      <c r="H67" s="4"/>
      <c r="I67" s="4"/>
      <c r="J67" s="48"/>
      <c r="K67" s="4"/>
      <c r="L67" s="4"/>
      <c r="M67" s="4"/>
      <c r="N67" s="4"/>
    </row>
    <row r="68" spans="2:14" x14ac:dyDescent="0.35">
      <c r="B68" s="4"/>
      <c r="C68" s="4"/>
      <c r="D68" s="4"/>
      <c r="E68" s="4"/>
      <c r="F68" s="4"/>
      <c r="G68" s="4"/>
      <c r="H68" s="4"/>
      <c r="I68" s="4"/>
      <c r="J68" s="48"/>
      <c r="K68" s="4"/>
      <c r="L68" s="4"/>
      <c r="M68" s="4"/>
      <c r="N68" s="4"/>
    </row>
    <row r="69" spans="2:14" x14ac:dyDescent="0.35">
      <c r="B69" s="4"/>
      <c r="C69" s="4"/>
      <c r="D69" s="4"/>
      <c r="E69" s="4"/>
      <c r="F69" s="4"/>
      <c r="G69" s="4"/>
      <c r="H69" s="4"/>
      <c r="I69" s="4"/>
      <c r="J69" s="48"/>
      <c r="K69" s="4"/>
      <c r="L69" s="4"/>
      <c r="M69" s="4"/>
      <c r="N69" s="4"/>
    </row>
    <row r="70" spans="2:14" x14ac:dyDescent="0.35">
      <c r="B70" s="4"/>
      <c r="C70" s="4"/>
      <c r="D70" s="4"/>
      <c r="E70" s="4"/>
      <c r="F70" s="4"/>
      <c r="G70" s="4"/>
      <c r="H70" s="4"/>
      <c r="I70" s="4"/>
      <c r="J70" s="48"/>
      <c r="K70" s="4"/>
      <c r="L70" s="4"/>
      <c r="M70" s="4"/>
      <c r="N70" s="4"/>
    </row>
    <row r="71" spans="2:14" x14ac:dyDescent="0.35">
      <c r="B71" s="4"/>
      <c r="C71" s="4"/>
      <c r="D71" s="4"/>
      <c r="E71" s="4"/>
      <c r="F71" s="4"/>
      <c r="G71" s="4"/>
      <c r="H71" s="4"/>
      <c r="I71" s="4"/>
      <c r="J71" s="48"/>
      <c r="K71" s="4"/>
      <c r="L71" s="4"/>
      <c r="M71" s="4"/>
      <c r="N71" s="4"/>
    </row>
    <row r="72" spans="2:14" x14ac:dyDescent="0.35">
      <c r="B72" s="4"/>
      <c r="C72" s="4"/>
      <c r="D72" s="4"/>
      <c r="E72" s="4"/>
      <c r="F72" s="4"/>
      <c r="G72" s="4"/>
      <c r="H72" s="4"/>
      <c r="I72" s="4"/>
      <c r="J72" s="48"/>
      <c r="K72" s="4"/>
      <c r="L72" s="4"/>
      <c r="M72" s="4"/>
      <c r="N72" s="4"/>
    </row>
    <row r="73" spans="2:14" x14ac:dyDescent="0.35">
      <c r="B73" s="4"/>
      <c r="C73" s="4"/>
      <c r="D73" s="4"/>
      <c r="E73" s="4"/>
      <c r="F73" s="4"/>
      <c r="G73" s="4"/>
      <c r="H73" s="4"/>
      <c r="I73" s="4"/>
      <c r="J73" s="48"/>
      <c r="K73" s="4"/>
      <c r="L73" s="4"/>
      <c r="M73" s="4"/>
      <c r="N73" s="4"/>
    </row>
    <row r="74" spans="2:14" x14ac:dyDescent="0.35">
      <c r="B74" s="4"/>
      <c r="C74" s="4"/>
      <c r="D74" s="4"/>
      <c r="E74" s="4"/>
      <c r="F74" s="4"/>
      <c r="G74" s="4"/>
      <c r="H74" s="4"/>
      <c r="I74" s="4"/>
      <c r="J74" s="48"/>
      <c r="K74" s="4"/>
      <c r="L74" s="4"/>
      <c r="M74" s="4"/>
      <c r="N74" s="4"/>
    </row>
    <row r="75" spans="2:14" x14ac:dyDescent="0.35">
      <c r="B75" s="4"/>
      <c r="C75" s="4"/>
      <c r="D75" s="4"/>
      <c r="E75" s="4"/>
      <c r="F75" s="4"/>
      <c r="G75" s="4"/>
      <c r="H75" s="4"/>
      <c r="I75" s="4"/>
      <c r="J75" s="48"/>
      <c r="K75" s="4"/>
      <c r="L75" s="4"/>
      <c r="M75" s="4"/>
      <c r="N75" s="4"/>
    </row>
    <row r="76" spans="2:14" x14ac:dyDescent="0.35">
      <c r="B76" s="4"/>
      <c r="C76" s="4"/>
      <c r="D76" s="4"/>
      <c r="E76" s="4"/>
      <c r="F76" s="4"/>
      <c r="G76" s="4"/>
      <c r="H76" s="4"/>
      <c r="I76" s="4"/>
      <c r="J76" s="48"/>
      <c r="K76" s="4"/>
      <c r="L76" s="4"/>
      <c r="M76" s="4"/>
      <c r="N76" s="4"/>
    </row>
    <row r="77" spans="2:14" x14ac:dyDescent="0.35">
      <c r="B77" s="4"/>
      <c r="C77" s="4"/>
      <c r="D77" s="4"/>
      <c r="E77" s="4"/>
      <c r="F77" s="4"/>
      <c r="G77" s="4"/>
      <c r="H77" s="4"/>
      <c r="I77" s="4"/>
      <c r="J77" s="48"/>
      <c r="K77" s="4"/>
      <c r="L77" s="4"/>
      <c r="M77" s="4"/>
      <c r="N77" s="4"/>
    </row>
    <row r="78" spans="2:14" x14ac:dyDescent="0.35">
      <c r="B78" s="4"/>
      <c r="C78" s="4"/>
      <c r="D78" s="4"/>
      <c r="E78" s="4"/>
      <c r="F78" s="4"/>
      <c r="G78" s="4"/>
      <c r="H78" s="4"/>
      <c r="I78" s="4"/>
      <c r="J78" s="48"/>
      <c r="K78" s="4"/>
      <c r="L78" s="4"/>
      <c r="M78" s="4"/>
      <c r="N78" s="4"/>
    </row>
    <row r="79" spans="2:14" x14ac:dyDescent="0.35">
      <c r="B79" s="4"/>
      <c r="C79" s="4"/>
      <c r="D79" s="4"/>
      <c r="E79" s="4"/>
      <c r="F79" s="4"/>
      <c r="G79" s="4"/>
      <c r="H79" s="4"/>
      <c r="I79" s="4"/>
      <c r="J79" s="48"/>
      <c r="K79" s="4"/>
      <c r="L79" s="4"/>
      <c r="M79" s="4"/>
      <c r="N79" s="4"/>
    </row>
    <row r="80" spans="2:14" x14ac:dyDescent="0.35">
      <c r="B80" s="4"/>
      <c r="C80" s="4"/>
      <c r="D80" s="4"/>
      <c r="E80" s="4"/>
      <c r="F80" s="4"/>
      <c r="G80" s="4"/>
      <c r="H80" s="4"/>
      <c r="I80" s="4"/>
      <c r="J80" s="48"/>
      <c r="K80" s="4"/>
      <c r="L80" s="4"/>
      <c r="M80" s="4"/>
      <c r="N80" s="4"/>
    </row>
    <row r="81" spans="2:14" x14ac:dyDescent="0.35">
      <c r="B81" s="4"/>
      <c r="C81" s="4"/>
      <c r="D81" s="4"/>
      <c r="E81" s="4"/>
      <c r="F81" s="4"/>
      <c r="G81" s="4"/>
      <c r="H81" s="4"/>
      <c r="I81" s="4"/>
      <c r="J81" s="48"/>
      <c r="K81" s="4"/>
      <c r="L81" s="4"/>
      <c r="M81" s="4"/>
      <c r="N81" s="4"/>
    </row>
    <row r="82" spans="2:14" x14ac:dyDescent="0.35">
      <c r="B82" s="4"/>
      <c r="C82" s="4"/>
      <c r="D82" s="4"/>
      <c r="E82" s="4"/>
      <c r="F82" s="4"/>
      <c r="G82" s="4"/>
      <c r="H82" s="4"/>
      <c r="I82" s="4"/>
      <c r="J82" s="48"/>
      <c r="K82" s="4"/>
      <c r="L82" s="4"/>
      <c r="M82" s="4"/>
      <c r="N82" s="4"/>
    </row>
    <row r="83" spans="2:14" x14ac:dyDescent="0.35">
      <c r="B83" s="4"/>
      <c r="C83" s="4"/>
      <c r="D83" s="4"/>
      <c r="E83" s="4"/>
      <c r="F83" s="4"/>
      <c r="G83" s="4"/>
      <c r="H83" s="4"/>
      <c r="I83" s="4"/>
      <c r="J83" s="48"/>
      <c r="K83" s="4"/>
      <c r="L83" s="4"/>
      <c r="M83" s="4"/>
      <c r="N83" s="4"/>
    </row>
    <row r="84" spans="2:14" x14ac:dyDescent="0.35">
      <c r="B84" s="4"/>
      <c r="C84" s="4"/>
      <c r="D84" s="4"/>
      <c r="E84" s="4"/>
      <c r="F84" s="4"/>
      <c r="G84" s="4"/>
      <c r="H84" s="4"/>
      <c r="I84" s="4"/>
      <c r="J84" s="48"/>
      <c r="K84" s="4"/>
      <c r="L84" s="4"/>
      <c r="M84" s="4"/>
      <c r="N84" s="4"/>
    </row>
    <row r="85" spans="2:14" x14ac:dyDescent="0.35">
      <c r="B85" s="4"/>
      <c r="C85" s="4"/>
      <c r="D85" s="4"/>
      <c r="E85" s="4"/>
      <c r="F85" s="4"/>
      <c r="G85" s="4"/>
      <c r="H85" s="4"/>
      <c r="I85" s="4"/>
      <c r="J85" s="48"/>
      <c r="K85" s="4"/>
      <c r="L85" s="4"/>
      <c r="M85" s="4"/>
      <c r="N85" s="4"/>
    </row>
    <row r="86" spans="2:14" x14ac:dyDescent="0.35">
      <c r="B86" s="4"/>
      <c r="C86" s="4"/>
      <c r="D86" s="4"/>
      <c r="E86" s="4"/>
      <c r="F86" s="4"/>
      <c r="G86" s="4"/>
      <c r="H86" s="4"/>
      <c r="I86" s="4"/>
      <c r="J86" s="48"/>
      <c r="K86" s="4"/>
      <c r="L86" s="4"/>
      <c r="M86" s="4"/>
      <c r="N86" s="4"/>
    </row>
    <row r="87" spans="2:14" x14ac:dyDescent="0.35">
      <c r="B87" s="4"/>
      <c r="C87" s="4"/>
      <c r="D87" s="4"/>
      <c r="E87" s="4"/>
      <c r="F87" s="4"/>
      <c r="G87" s="4"/>
      <c r="H87" s="4"/>
      <c r="I87" s="4"/>
      <c r="J87" s="48"/>
      <c r="K87" s="4"/>
      <c r="L87" s="4"/>
      <c r="M87" s="4"/>
      <c r="N87" s="4"/>
    </row>
    <row r="88" spans="2:14" x14ac:dyDescent="0.35">
      <c r="B88" s="4"/>
      <c r="C88" s="4"/>
      <c r="D88" s="4"/>
      <c r="E88" s="4"/>
      <c r="F88" s="4"/>
      <c r="G88" s="4"/>
      <c r="H88" s="4"/>
      <c r="I88" s="4"/>
      <c r="J88" s="48"/>
      <c r="K88" s="4"/>
      <c r="L88" s="4"/>
      <c r="M88" s="4"/>
      <c r="N88" s="4"/>
    </row>
    <row r="89" spans="2:14" x14ac:dyDescent="0.35">
      <c r="B89" s="4"/>
      <c r="C89" s="4"/>
      <c r="D89" s="4"/>
      <c r="E89" s="4"/>
      <c r="F89" s="4"/>
      <c r="G89" s="4"/>
      <c r="H89" s="4"/>
      <c r="I89" s="4"/>
      <c r="J89" s="48"/>
      <c r="K89" s="4"/>
      <c r="L89" s="4"/>
      <c r="M89" s="4"/>
      <c r="N89" s="4"/>
    </row>
    <row r="90" spans="2:14" x14ac:dyDescent="0.35">
      <c r="B90" s="4"/>
      <c r="C90" s="4"/>
      <c r="D90" s="4"/>
      <c r="E90" s="4"/>
      <c r="F90" s="4"/>
      <c r="G90" s="4"/>
      <c r="H90" s="4"/>
      <c r="I90" s="4"/>
      <c r="J90" s="48"/>
      <c r="K90" s="4"/>
      <c r="L90" s="4"/>
      <c r="M90" s="4"/>
      <c r="N90" s="4"/>
    </row>
  </sheetData>
  <sortState ref="J7:J46">
    <sortCondition ref="J7:J46"/>
  </sortState>
  <mergeCells count="1">
    <mergeCell ref="O3:P3"/>
  </mergeCells>
  <phoneticPr fontId="1" type="noConversion"/>
  <pageMargins left="0.75" right="0.75" top="1" bottom="1" header="0.5" footer="0.5"/>
  <pageSetup orientation="portrait" r:id="rId1"/>
  <headerFooter alignWithMargins="0"/>
  <ignoredErrors>
    <ignoredError sqref="K4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topLeftCell="G10" workbookViewId="0">
      <selection activeCell="U28" sqref="U28"/>
    </sheetView>
  </sheetViews>
  <sheetFormatPr defaultRowHeight="12.75" x14ac:dyDescent="0.35"/>
  <cols>
    <col min="1" max="1" width="12.796875" customWidth="1"/>
    <col min="20" max="20" width="8.796875" style="47"/>
  </cols>
  <sheetData>
    <row r="1" spans="1:21" x14ac:dyDescent="0.35">
      <c r="A1" t="s">
        <v>0</v>
      </c>
    </row>
    <row r="2" spans="1:21" x14ac:dyDescent="0.35">
      <c r="A2" t="s">
        <v>91</v>
      </c>
    </row>
    <row r="3" spans="1:21" x14ac:dyDescent="0.35">
      <c r="A3" t="s">
        <v>4</v>
      </c>
      <c r="B3" s="3" t="s">
        <v>22</v>
      </c>
      <c r="C3" s="3" t="s">
        <v>23</v>
      </c>
      <c r="D3" s="3" t="s">
        <v>90</v>
      </c>
      <c r="E3" s="3"/>
      <c r="F3" s="47" t="s">
        <v>90</v>
      </c>
      <c r="G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87" t="s">
        <v>90</v>
      </c>
      <c r="U3" s="287"/>
    </row>
    <row r="4" spans="1:21" s="47" customFormat="1" x14ac:dyDescent="0.35">
      <c r="A4" s="47" t="s">
        <v>2</v>
      </c>
      <c r="B4" s="47">
        <v>395079</v>
      </c>
      <c r="C4" s="47">
        <v>396952</v>
      </c>
      <c r="D4" s="47">
        <v>398095</v>
      </c>
      <c r="F4" s="47" t="s">
        <v>158</v>
      </c>
      <c r="G4" s="47" t="s">
        <v>159</v>
      </c>
      <c r="H4" s="47" t="s">
        <v>345</v>
      </c>
      <c r="T4" s="47" t="s">
        <v>280</v>
      </c>
      <c r="U4" s="47" t="s">
        <v>34</v>
      </c>
    </row>
    <row r="5" spans="1:21" s="16" customFormat="1" x14ac:dyDescent="0.35">
      <c r="A5" s="16" t="s">
        <v>1</v>
      </c>
      <c r="B5" s="16">
        <v>5461204</v>
      </c>
      <c r="C5" s="16">
        <v>5459899</v>
      </c>
      <c r="D5" s="16">
        <v>5458441</v>
      </c>
      <c r="T5" s="47"/>
    </row>
    <row r="7" spans="1:21" x14ac:dyDescent="0.35">
      <c r="B7">
        <v>0.14000000000000001</v>
      </c>
      <c r="C7">
        <v>0.48</v>
      </c>
      <c r="D7">
        <v>0.77</v>
      </c>
      <c r="F7">
        <v>0.12</v>
      </c>
      <c r="G7">
        <f>1+F7</f>
        <v>1.1200000000000001</v>
      </c>
      <c r="H7">
        <f>LOG10(G7)</f>
        <v>4.9218022670181653E-2</v>
      </c>
      <c r="I7">
        <v>1</v>
      </c>
      <c r="J7" s="23">
        <f>I7/50</f>
        <v>0.02</v>
      </c>
      <c r="T7" s="47" t="s">
        <v>346</v>
      </c>
      <c r="U7" s="36">
        <f>COUNTIF(F$7:F$56,"&gt;=0")-COUNTIF(F$7:F$56,"&gt;0.099")</f>
        <v>0</v>
      </c>
    </row>
    <row r="8" spans="1:21" x14ac:dyDescent="0.35">
      <c r="B8">
        <v>0.17</v>
      </c>
      <c r="C8">
        <v>0.24</v>
      </c>
      <c r="D8">
        <v>0.71</v>
      </c>
      <c r="F8">
        <v>0.22</v>
      </c>
      <c r="G8">
        <f t="shared" ref="G8:G56" si="0">1+F8</f>
        <v>1.22</v>
      </c>
      <c r="H8">
        <f t="shared" ref="H8:H56" si="1">LOG10(G8)</f>
        <v>8.6359830674748214E-2</v>
      </c>
      <c r="I8">
        <f>1+I7</f>
        <v>2</v>
      </c>
      <c r="J8" s="23">
        <f t="shared" ref="J8:J56" si="2">I8/50</f>
        <v>0.04</v>
      </c>
      <c r="T8" s="47" t="s">
        <v>347</v>
      </c>
      <c r="U8" s="36">
        <f>COUNTIF(F$7:F$56,"&gt;=0.10")-COUNTIF(F$7:F$56,"&gt;0.199")</f>
        <v>1</v>
      </c>
    </row>
    <row r="9" spans="1:21" x14ac:dyDescent="0.35">
      <c r="B9">
        <v>0.17</v>
      </c>
      <c r="C9">
        <v>0.39</v>
      </c>
      <c r="D9">
        <v>0.57999999999999996</v>
      </c>
      <c r="F9">
        <v>0.24</v>
      </c>
      <c r="G9">
        <f t="shared" si="0"/>
        <v>1.24</v>
      </c>
      <c r="H9">
        <f t="shared" si="1"/>
        <v>9.3421685162235063E-2</v>
      </c>
      <c r="I9">
        <f t="shared" ref="I9:I56" si="3">1+I8</f>
        <v>3</v>
      </c>
      <c r="J9" s="23">
        <f t="shared" si="2"/>
        <v>0.06</v>
      </c>
      <c r="T9" s="47" t="s">
        <v>200</v>
      </c>
      <c r="U9" s="36">
        <f>COUNTIF(F$7:F$56,"&gt;=0.2")-COUNTIF(F$7:F$56,"&gt;0.299")</f>
        <v>3</v>
      </c>
    </row>
    <row r="10" spans="1:21" x14ac:dyDescent="0.35">
      <c r="B10">
        <v>0.1</v>
      </c>
      <c r="C10">
        <v>0.24</v>
      </c>
      <c r="D10">
        <v>0.54</v>
      </c>
      <c r="F10">
        <v>0.28000000000000003</v>
      </c>
      <c r="G10">
        <f t="shared" si="0"/>
        <v>1.28</v>
      </c>
      <c r="H10">
        <f t="shared" si="1"/>
        <v>0.10720996964786837</v>
      </c>
      <c r="I10">
        <f t="shared" si="3"/>
        <v>4</v>
      </c>
      <c r="J10" s="23">
        <f t="shared" si="2"/>
        <v>0.08</v>
      </c>
      <c r="T10" s="47" t="s">
        <v>199</v>
      </c>
      <c r="U10" s="36">
        <f>COUNTIF(F$7:F$56,"&gt;=0.3")-COUNTIF(F$7:F$56,"&gt;0.399")</f>
        <v>4</v>
      </c>
    </row>
    <row r="11" spans="1:21" x14ac:dyDescent="0.35">
      <c r="B11">
        <v>0.2</v>
      </c>
      <c r="C11">
        <v>0.22</v>
      </c>
      <c r="D11">
        <v>0.34</v>
      </c>
      <c r="F11">
        <v>0.32</v>
      </c>
      <c r="G11">
        <f t="shared" si="0"/>
        <v>1.32</v>
      </c>
      <c r="H11">
        <f t="shared" si="1"/>
        <v>0.12057393120584989</v>
      </c>
      <c r="I11">
        <f t="shared" si="3"/>
        <v>5</v>
      </c>
      <c r="J11" s="23">
        <f t="shared" si="2"/>
        <v>0.1</v>
      </c>
      <c r="T11" s="47" t="s">
        <v>201</v>
      </c>
      <c r="U11" s="36">
        <f>COUNTIF(F$7:F$56,"&gt;=0.4")-COUNTIF(F$7:F$56,"&gt;0.499")</f>
        <v>10</v>
      </c>
    </row>
    <row r="12" spans="1:21" x14ac:dyDescent="0.35">
      <c r="B12">
        <v>0.16</v>
      </c>
      <c r="C12">
        <v>0.11</v>
      </c>
      <c r="D12">
        <v>0.28000000000000003</v>
      </c>
      <c r="F12">
        <v>0.34</v>
      </c>
      <c r="G12">
        <f t="shared" si="0"/>
        <v>1.34</v>
      </c>
      <c r="H12">
        <f t="shared" si="1"/>
        <v>0.12710479836480765</v>
      </c>
      <c r="I12">
        <f t="shared" si="3"/>
        <v>6</v>
      </c>
      <c r="J12" s="23">
        <f t="shared" si="2"/>
        <v>0.12</v>
      </c>
      <c r="T12" s="47" t="s">
        <v>202</v>
      </c>
      <c r="U12" s="36">
        <f>COUNTIF(F$7:F$56,"&gt;=0.5")-COUNTIF(F$7:F$56,"&gt;0.599")</f>
        <v>10</v>
      </c>
    </row>
    <row r="13" spans="1:21" x14ac:dyDescent="0.35">
      <c r="B13">
        <v>0.12</v>
      </c>
      <c r="C13">
        <v>0.11</v>
      </c>
      <c r="D13">
        <v>1.39</v>
      </c>
      <c r="F13">
        <v>0.35</v>
      </c>
      <c r="G13">
        <f t="shared" si="0"/>
        <v>1.35</v>
      </c>
      <c r="H13">
        <f t="shared" si="1"/>
        <v>0.13033376849500614</v>
      </c>
      <c r="I13">
        <f t="shared" si="3"/>
        <v>7</v>
      </c>
      <c r="J13" s="23">
        <f t="shared" si="2"/>
        <v>0.14000000000000001</v>
      </c>
      <c r="T13" s="47" t="s">
        <v>203</v>
      </c>
      <c r="U13" s="36">
        <f>COUNTIF(F$7:F$56,"&gt;=0.6")-COUNTIF(F$7:F$56,"&gt;0.699")</f>
        <v>10</v>
      </c>
    </row>
    <row r="14" spans="1:21" x14ac:dyDescent="0.35">
      <c r="B14">
        <v>0.18</v>
      </c>
      <c r="C14">
        <v>0.17</v>
      </c>
      <c r="D14">
        <v>0.59</v>
      </c>
      <c r="F14">
        <v>0.37</v>
      </c>
      <c r="G14">
        <f t="shared" si="0"/>
        <v>1.37</v>
      </c>
      <c r="H14">
        <f t="shared" si="1"/>
        <v>0.13672056715640679</v>
      </c>
      <c r="I14">
        <f t="shared" si="3"/>
        <v>8</v>
      </c>
      <c r="J14" s="23">
        <f t="shared" si="2"/>
        <v>0.16</v>
      </c>
      <c r="T14" s="47" t="s">
        <v>204</v>
      </c>
      <c r="U14" s="36">
        <f>COUNTIF(F$7:F$56,"&gt;=0.7")-COUNTIF(F$7:F$56,"&gt;0.799")</f>
        <v>6</v>
      </c>
    </row>
    <row r="15" spans="1:21" x14ac:dyDescent="0.35">
      <c r="B15">
        <v>0.21</v>
      </c>
      <c r="C15">
        <v>0.24</v>
      </c>
      <c r="D15">
        <v>0.66</v>
      </c>
      <c r="F15">
        <v>0.4</v>
      </c>
      <c r="G15">
        <f t="shared" si="0"/>
        <v>1.4</v>
      </c>
      <c r="H15">
        <f t="shared" si="1"/>
        <v>0.14612803567823801</v>
      </c>
      <c r="I15">
        <f t="shared" si="3"/>
        <v>9</v>
      </c>
      <c r="J15" s="23">
        <f t="shared" si="2"/>
        <v>0.18</v>
      </c>
      <c r="T15" s="47" t="s">
        <v>205</v>
      </c>
      <c r="U15" s="36">
        <f>COUNTIF(F$7:F$56,"&gt;=0.8")-COUNTIF(F$7:F$56,"&gt;0.899")</f>
        <v>3</v>
      </c>
    </row>
    <row r="16" spans="1:21" x14ac:dyDescent="0.35">
      <c r="B16">
        <v>0.15</v>
      </c>
      <c r="C16">
        <v>0.15</v>
      </c>
      <c r="D16">
        <v>0.75</v>
      </c>
      <c r="F16">
        <v>0.42</v>
      </c>
      <c r="G16">
        <f t="shared" si="0"/>
        <v>1.42</v>
      </c>
      <c r="H16">
        <f t="shared" si="1"/>
        <v>0.15228834438305647</v>
      </c>
      <c r="I16">
        <f t="shared" si="3"/>
        <v>10</v>
      </c>
      <c r="J16" s="23">
        <f t="shared" si="2"/>
        <v>0.2</v>
      </c>
      <c r="T16" s="47" t="s">
        <v>206</v>
      </c>
      <c r="U16" s="36">
        <f>COUNTIF(F$7:F$56,"&gt;=0.9")-COUNTIF(F$7:F$56,"&gt;0.999")</f>
        <v>1</v>
      </c>
    </row>
    <row r="17" spans="2:21" x14ac:dyDescent="0.35">
      <c r="B17">
        <v>0.17</v>
      </c>
      <c r="C17">
        <v>0.14000000000000001</v>
      </c>
      <c r="D17">
        <v>0.37</v>
      </c>
      <c r="F17">
        <v>0.42</v>
      </c>
      <c r="G17">
        <f t="shared" si="0"/>
        <v>1.42</v>
      </c>
      <c r="H17">
        <f t="shared" si="1"/>
        <v>0.15228834438305647</v>
      </c>
      <c r="I17">
        <f t="shared" si="3"/>
        <v>11</v>
      </c>
      <c r="J17" s="23">
        <f t="shared" si="2"/>
        <v>0.22</v>
      </c>
      <c r="T17" s="47" t="s">
        <v>207</v>
      </c>
      <c r="U17" s="36">
        <f>COUNTIF(F$7:F$56,"&gt;=1.0")-COUNTIF(F$7:F$56,"&gt;1.199")</f>
        <v>1</v>
      </c>
    </row>
    <row r="18" spans="2:21" x14ac:dyDescent="0.35">
      <c r="B18">
        <v>0.15</v>
      </c>
      <c r="C18">
        <v>0.06</v>
      </c>
      <c r="D18">
        <v>0.51</v>
      </c>
      <c r="F18">
        <v>0.43</v>
      </c>
      <c r="G18">
        <f t="shared" si="0"/>
        <v>1.43</v>
      </c>
      <c r="H18">
        <f t="shared" si="1"/>
        <v>0.1553360374650618</v>
      </c>
      <c r="I18">
        <f t="shared" si="3"/>
        <v>12</v>
      </c>
      <c r="J18" s="23">
        <f t="shared" si="2"/>
        <v>0.24</v>
      </c>
      <c r="T18" s="47" t="s">
        <v>208</v>
      </c>
      <c r="U18" s="36">
        <f>COUNTIF(F$7:F$56,"&gt;=1.1")-COUNTIF(F$7:F$56,"&gt;1.199")</f>
        <v>1</v>
      </c>
    </row>
    <row r="19" spans="2:21" x14ac:dyDescent="0.35">
      <c r="B19">
        <v>0.18</v>
      </c>
      <c r="C19">
        <v>0.19</v>
      </c>
      <c r="D19">
        <v>0.61</v>
      </c>
      <c r="F19">
        <v>0.43</v>
      </c>
      <c r="G19">
        <f t="shared" si="0"/>
        <v>1.43</v>
      </c>
      <c r="H19">
        <f t="shared" si="1"/>
        <v>0.1553360374650618</v>
      </c>
      <c r="I19">
        <f t="shared" si="3"/>
        <v>13</v>
      </c>
      <c r="J19" s="23">
        <f t="shared" si="2"/>
        <v>0.26</v>
      </c>
      <c r="T19" s="47" t="s">
        <v>209</v>
      </c>
      <c r="U19" s="36">
        <f>COUNTIF(F$7:F$56,"&gt;=1.2")-COUNTIF(F$7:F$56,"&gt;1.299")</f>
        <v>0</v>
      </c>
    </row>
    <row r="20" spans="2:21" x14ac:dyDescent="0.35">
      <c r="B20">
        <v>0.2</v>
      </c>
      <c r="C20">
        <v>0.18</v>
      </c>
      <c r="D20">
        <v>0.42</v>
      </c>
      <c r="F20">
        <v>0.44</v>
      </c>
      <c r="G20">
        <f t="shared" si="0"/>
        <v>1.44</v>
      </c>
      <c r="H20">
        <f t="shared" si="1"/>
        <v>0.15836249209524964</v>
      </c>
      <c r="I20">
        <f t="shared" si="3"/>
        <v>14</v>
      </c>
      <c r="J20" s="23">
        <f t="shared" si="2"/>
        <v>0.28000000000000003</v>
      </c>
      <c r="T20" s="47" t="s">
        <v>210</v>
      </c>
      <c r="U20" s="36">
        <f>COUNTIF(F$7:F$56,"&gt;=1.3")-COUNTIF(F$7:F$56,"&gt;1.399")</f>
        <v>1</v>
      </c>
    </row>
    <row r="21" spans="2:21" x14ac:dyDescent="0.35">
      <c r="B21">
        <v>0.1</v>
      </c>
      <c r="C21">
        <v>0.19</v>
      </c>
      <c r="D21">
        <v>0.46</v>
      </c>
      <c r="F21">
        <v>0.46</v>
      </c>
      <c r="G21">
        <f t="shared" si="0"/>
        <v>1.46</v>
      </c>
      <c r="H21">
        <f t="shared" si="1"/>
        <v>0.16435285578443709</v>
      </c>
      <c r="I21">
        <f t="shared" si="3"/>
        <v>15</v>
      </c>
      <c r="J21" s="23">
        <f t="shared" si="2"/>
        <v>0.3</v>
      </c>
      <c r="T21" s="47" t="s">
        <v>348</v>
      </c>
      <c r="U21" s="36">
        <f>COUNTIF(F$7:F$56,"&gt;=1.4")</f>
        <v>0</v>
      </c>
    </row>
    <row r="22" spans="2:21" x14ac:dyDescent="0.35">
      <c r="B22">
        <v>0.14000000000000001</v>
      </c>
      <c r="C22">
        <v>0.12</v>
      </c>
      <c r="D22">
        <v>0.44</v>
      </c>
      <c r="F22">
        <v>0.46</v>
      </c>
      <c r="G22">
        <f t="shared" si="0"/>
        <v>1.46</v>
      </c>
      <c r="H22">
        <f t="shared" si="1"/>
        <v>0.16435285578443709</v>
      </c>
      <c r="I22">
        <f t="shared" si="3"/>
        <v>16</v>
      </c>
      <c r="J22" s="23">
        <f t="shared" si="2"/>
        <v>0.32</v>
      </c>
    </row>
    <row r="23" spans="2:21" x14ac:dyDescent="0.35">
      <c r="B23">
        <v>0.2</v>
      </c>
      <c r="C23">
        <v>0.16</v>
      </c>
      <c r="D23">
        <v>0.64</v>
      </c>
      <c r="F23">
        <v>0.48</v>
      </c>
      <c r="G23">
        <f t="shared" si="0"/>
        <v>1.48</v>
      </c>
      <c r="H23">
        <f t="shared" si="1"/>
        <v>0.17026171539495738</v>
      </c>
      <c r="I23">
        <f t="shared" si="3"/>
        <v>17</v>
      </c>
      <c r="J23" s="23">
        <f t="shared" si="2"/>
        <v>0.34</v>
      </c>
    </row>
    <row r="24" spans="2:21" x14ac:dyDescent="0.35">
      <c r="B24">
        <v>0.21</v>
      </c>
      <c r="C24">
        <v>0.19</v>
      </c>
      <c r="D24">
        <v>0.35</v>
      </c>
      <c r="F24">
        <v>0.49</v>
      </c>
      <c r="G24">
        <f t="shared" si="0"/>
        <v>1.49</v>
      </c>
      <c r="H24">
        <f t="shared" si="1"/>
        <v>0.17318626841227402</v>
      </c>
      <c r="I24">
        <f t="shared" si="3"/>
        <v>18</v>
      </c>
      <c r="J24" s="23">
        <f t="shared" si="2"/>
        <v>0.36</v>
      </c>
    </row>
    <row r="25" spans="2:21" x14ac:dyDescent="0.35">
      <c r="B25">
        <v>0.2</v>
      </c>
      <c r="C25">
        <v>0.15</v>
      </c>
      <c r="D25">
        <v>0.72</v>
      </c>
      <c r="F25">
        <v>0.5</v>
      </c>
      <c r="G25">
        <f t="shared" si="0"/>
        <v>1.5</v>
      </c>
      <c r="H25">
        <f t="shared" si="1"/>
        <v>0.17609125905568124</v>
      </c>
      <c r="I25">
        <f t="shared" si="3"/>
        <v>19</v>
      </c>
      <c r="J25" s="23">
        <f t="shared" si="2"/>
        <v>0.38</v>
      </c>
    </row>
    <row r="26" spans="2:21" x14ac:dyDescent="0.35">
      <c r="B26">
        <v>0.17</v>
      </c>
      <c r="C26">
        <v>0.17</v>
      </c>
      <c r="D26">
        <v>1.17</v>
      </c>
      <c r="F26">
        <v>0.5</v>
      </c>
      <c r="G26">
        <f t="shared" si="0"/>
        <v>1.5</v>
      </c>
      <c r="H26">
        <f t="shared" si="1"/>
        <v>0.17609125905568124</v>
      </c>
      <c r="I26">
        <f t="shared" si="3"/>
        <v>20</v>
      </c>
      <c r="J26" s="23">
        <f t="shared" si="2"/>
        <v>0.4</v>
      </c>
    </row>
    <row r="27" spans="2:21" x14ac:dyDescent="0.35">
      <c r="B27">
        <v>0.14000000000000001</v>
      </c>
      <c r="D27">
        <v>0.5</v>
      </c>
      <c r="F27">
        <v>0.51</v>
      </c>
      <c r="G27">
        <f t="shared" si="0"/>
        <v>1.51</v>
      </c>
      <c r="H27">
        <f t="shared" si="1"/>
        <v>0.17897694729316943</v>
      </c>
      <c r="I27">
        <f t="shared" si="3"/>
        <v>21</v>
      </c>
      <c r="J27" s="23">
        <f t="shared" si="2"/>
        <v>0.42</v>
      </c>
    </row>
    <row r="28" spans="2:21" x14ac:dyDescent="0.35">
      <c r="B28">
        <v>0.13</v>
      </c>
      <c r="D28">
        <v>0.5</v>
      </c>
      <c r="F28">
        <v>0.51</v>
      </c>
      <c r="G28">
        <f t="shared" si="0"/>
        <v>1.51</v>
      </c>
      <c r="H28">
        <f t="shared" si="1"/>
        <v>0.17897694729316943</v>
      </c>
      <c r="I28">
        <f t="shared" si="3"/>
        <v>22</v>
      </c>
      <c r="J28" s="23">
        <f t="shared" si="2"/>
        <v>0.44</v>
      </c>
    </row>
    <row r="29" spans="2:21" x14ac:dyDescent="0.35">
      <c r="B29">
        <v>0.14000000000000001</v>
      </c>
      <c r="D29">
        <v>0.62</v>
      </c>
      <c r="F29">
        <v>0.54</v>
      </c>
      <c r="G29">
        <f t="shared" si="0"/>
        <v>1.54</v>
      </c>
      <c r="H29">
        <f t="shared" si="1"/>
        <v>0.18752072083646307</v>
      </c>
      <c r="I29">
        <f t="shared" si="3"/>
        <v>23</v>
      </c>
      <c r="J29" s="23">
        <f t="shared" si="2"/>
        <v>0.46</v>
      </c>
    </row>
    <row r="30" spans="2:21" x14ac:dyDescent="0.35">
      <c r="B30">
        <v>0.21</v>
      </c>
      <c r="D30">
        <v>0.61</v>
      </c>
      <c r="F30">
        <v>0.56000000000000005</v>
      </c>
      <c r="G30">
        <f t="shared" si="0"/>
        <v>1.56</v>
      </c>
      <c r="H30">
        <f t="shared" si="1"/>
        <v>0.19312459835446161</v>
      </c>
      <c r="I30">
        <f t="shared" si="3"/>
        <v>24</v>
      </c>
      <c r="J30" s="23">
        <f t="shared" si="2"/>
        <v>0.48</v>
      </c>
    </row>
    <row r="31" spans="2:21" x14ac:dyDescent="0.35">
      <c r="B31">
        <v>0.14000000000000001</v>
      </c>
      <c r="D31">
        <v>0.6</v>
      </c>
      <c r="F31">
        <v>0.57999999999999996</v>
      </c>
      <c r="G31">
        <f t="shared" si="0"/>
        <v>1.58</v>
      </c>
      <c r="H31">
        <f t="shared" si="1"/>
        <v>0.19865708695442263</v>
      </c>
      <c r="I31">
        <f t="shared" si="3"/>
        <v>25</v>
      </c>
      <c r="J31" s="23">
        <f t="shared" si="2"/>
        <v>0.5</v>
      </c>
    </row>
    <row r="32" spans="2:21" x14ac:dyDescent="0.35">
      <c r="B32">
        <v>0.24</v>
      </c>
      <c r="D32">
        <v>0.82</v>
      </c>
      <c r="F32">
        <v>0.57999999999999996</v>
      </c>
      <c r="G32">
        <f t="shared" si="0"/>
        <v>1.58</v>
      </c>
      <c r="H32">
        <f t="shared" si="1"/>
        <v>0.19865708695442263</v>
      </c>
      <c r="I32">
        <f t="shared" si="3"/>
        <v>26</v>
      </c>
      <c r="J32" s="23">
        <f t="shared" si="2"/>
        <v>0.52</v>
      </c>
    </row>
    <row r="33" spans="2:10" x14ac:dyDescent="0.35">
      <c r="B33">
        <v>0.16</v>
      </c>
      <c r="D33">
        <v>0.99</v>
      </c>
      <c r="F33">
        <v>0.59</v>
      </c>
      <c r="G33">
        <f t="shared" si="0"/>
        <v>1.5899999999999999</v>
      </c>
      <c r="H33">
        <f t="shared" si="1"/>
        <v>0.20139712432045145</v>
      </c>
      <c r="I33">
        <f t="shared" si="3"/>
        <v>27</v>
      </c>
      <c r="J33" s="23">
        <f t="shared" si="2"/>
        <v>0.54</v>
      </c>
    </row>
    <row r="34" spans="2:10" x14ac:dyDescent="0.35">
      <c r="B34">
        <v>0.22</v>
      </c>
      <c r="D34">
        <v>0.59</v>
      </c>
      <c r="F34">
        <v>0.59</v>
      </c>
      <c r="G34">
        <f t="shared" si="0"/>
        <v>1.5899999999999999</v>
      </c>
      <c r="H34">
        <f t="shared" si="1"/>
        <v>0.20139712432045145</v>
      </c>
      <c r="I34">
        <f t="shared" si="3"/>
        <v>28</v>
      </c>
      <c r="J34" s="23">
        <f t="shared" si="2"/>
        <v>0.56000000000000005</v>
      </c>
    </row>
    <row r="35" spans="2:10" x14ac:dyDescent="0.35">
      <c r="B35">
        <v>0.15</v>
      </c>
      <c r="D35">
        <v>0.32</v>
      </c>
      <c r="F35">
        <v>0.6</v>
      </c>
      <c r="G35">
        <f t="shared" si="0"/>
        <v>1.6</v>
      </c>
      <c r="H35">
        <f t="shared" si="1"/>
        <v>0.20411998265592479</v>
      </c>
      <c r="I35">
        <f t="shared" si="3"/>
        <v>29</v>
      </c>
      <c r="J35" s="23">
        <f t="shared" si="2"/>
        <v>0.57999999999999996</v>
      </c>
    </row>
    <row r="36" spans="2:10" x14ac:dyDescent="0.35">
      <c r="B36">
        <v>0.23</v>
      </c>
      <c r="D36">
        <v>0.4</v>
      </c>
      <c r="F36">
        <v>0.6</v>
      </c>
      <c r="G36">
        <f t="shared" si="0"/>
        <v>1.6</v>
      </c>
      <c r="H36">
        <f t="shared" si="1"/>
        <v>0.20411998265592479</v>
      </c>
      <c r="I36">
        <f t="shared" si="3"/>
        <v>30</v>
      </c>
      <c r="J36" s="23">
        <f t="shared" si="2"/>
        <v>0.6</v>
      </c>
    </row>
    <row r="37" spans="2:10" x14ac:dyDescent="0.35">
      <c r="B37">
        <v>0.14000000000000001</v>
      </c>
      <c r="D37">
        <v>0.43</v>
      </c>
      <c r="F37">
        <v>0.61</v>
      </c>
      <c r="G37">
        <f t="shared" si="0"/>
        <v>1.6099999999999999</v>
      </c>
      <c r="H37">
        <f t="shared" si="1"/>
        <v>0.20682587603184968</v>
      </c>
      <c r="I37">
        <f t="shared" si="3"/>
        <v>31</v>
      </c>
      <c r="J37" s="23">
        <f t="shared" si="2"/>
        <v>0.62</v>
      </c>
    </row>
    <row r="38" spans="2:10" x14ac:dyDescent="0.35">
      <c r="B38">
        <v>0.15</v>
      </c>
      <c r="D38">
        <v>0.46</v>
      </c>
      <c r="F38">
        <v>0.61</v>
      </c>
      <c r="G38">
        <f t="shared" si="0"/>
        <v>1.6099999999999999</v>
      </c>
      <c r="H38">
        <f t="shared" si="1"/>
        <v>0.20682587603184968</v>
      </c>
      <c r="I38">
        <f t="shared" si="3"/>
        <v>32</v>
      </c>
      <c r="J38" s="23">
        <f t="shared" si="2"/>
        <v>0.64</v>
      </c>
    </row>
    <row r="39" spans="2:10" x14ac:dyDescent="0.35">
      <c r="D39">
        <v>0.22</v>
      </c>
      <c r="F39">
        <v>0.62</v>
      </c>
      <c r="G39">
        <f t="shared" si="0"/>
        <v>1.62</v>
      </c>
      <c r="H39">
        <f t="shared" si="1"/>
        <v>0.20951501454263097</v>
      </c>
      <c r="I39">
        <f t="shared" si="3"/>
        <v>33</v>
      </c>
      <c r="J39" s="23">
        <f t="shared" si="2"/>
        <v>0.66</v>
      </c>
    </row>
    <row r="40" spans="2:10" ht="15" x14ac:dyDescent="0.4">
      <c r="B40" s="6">
        <f>SUM(B7:B38)/32</f>
        <v>0.16781250000000003</v>
      </c>
      <c r="C40" s="6">
        <f>SUM(C7:C26)/20</f>
        <v>0.19500000000000001</v>
      </c>
      <c r="D40">
        <v>0.51</v>
      </c>
      <c r="F40">
        <v>0.62</v>
      </c>
      <c r="G40">
        <f t="shared" si="0"/>
        <v>1.62</v>
      </c>
      <c r="H40">
        <f t="shared" si="1"/>
        <v>0.20951501454263097</v>
      </c>
      <c r="I40">
        <f t="shared" si="3"/>
        <v>34</v>
      </c>
      <c r="J40" s="23">
        <f t="shared" si="2"/>
        <v>0.68</v>
      </c>
    </row>
    <row r="41" spans="2:10" x14ac:dyDescent="0.35">
      <c r="D41">
        <v>0.71</v>
      </c>
      <c r="F41">
        <v>0.64</v>
      </c>
      <c r="G41">
        <f t="shared" si="0"/>
        <v>1.6400000000000001</v>
      </c>
      <c r="H41">
        <f t="shared" si="1"/>
        <v>0.21484384804769791</v>
      </c>
      <c r="I41">
        <f t="shared" si="3"/>
        <v>35</v>
      </c>
      <c r="J41" s="23">
        <f t="shared" si="2"/>
        <v>0.7</v>
      </c>
    </row>
    <row r="42" spans="2:10" x14ac:dyDescent="0.35">
      <c r="D42">
        <v>0.24</v>
      </c>
      <c r="F42">
        <v>0.66</v>
      </c>
      <c r="G42">
        <f t="shared" si="0"/>
        <v>1.6600000000000001</v>
      </c>
      <c r="H42">
        <f t="shared" si="1"/>
        <v>0.22010808804005513</v>
      </c>
      <c r="I42">
        <f t="shared" si="3"/>
        <v>36</v>
      </c>
      <c r="J42" s="23">
        <f t="shared" si="2"/>
        <v>0.72</v>
      </c>
    </row>
    <row r="43" spans="2:10" x14ac:dyDescent="0.35">
      <c r="D43">
        <v>0.48</v>
      </c>
      <c r="F43">
        <v>0.66</v>
      </c>
      <c r="G43">
        <f t="shared" si="0"/>
        <v>1.6600000000000001</v>
      </c>
      <c r="H43">
        <f t="shared" si="1"/>
        <v>0.22010808804005513</v>
      </c>
      <c r="I43">
        <f t="shared" si="3"/>
        <v>37</v>
      </c>
      <c r="J43" s="23">
        <f t="shared" si="2"/>
        <v>0.74</v>
      </c>
    </row>
    <row r="44" spans="2:10" x14ac:dyDescent="0.35">
      <c r="D44">
        <v>0.12</v>
      </c>
      <c r="F44">
        <v>0.69</v>
      </c>
      <c r="G44">
        <f t="shared" si="0"/>
        <v>1.69</v>
      </c>
      <c r="H44">
        <f t="shared" si="1"/>
        <v>0.22788670461367352</v>
      </c>
      <c r="I44">
        <f t="shared" si="3"/>
        <v>38</v>
      </c>
      <c r="J44" s="23">
        <f t="shared" si="2"/>
        <v>0.76</v>
      </c>
    </row>
    <row r="45" spans="2:10" x14ac:dyDescent="0.35">
      <c r="D45">
        <v>0.84</v>
      </c>
      <c r="F45">
        <v>0.71</v>
      </c>
      <c r="G45">
        <f t="shared" si="0"/>
        <v>1.71</v>
      </c>
      <c r="H45">
        <f t="shared" si="1"/>
        <v>0.23299611039215382</v>
      </c>
      <c r="I45">
        <f t="shared" si="3"/>
        <v>39</v>
      </c>
      <c r="J45" s="23">
        <f t="shared" si="2"/>
        <v>0.78</v>
      </c>
    </row>
    <row r="46" spans="2:10" x14ac:dyDescent="0.35">
      <c r="D46">
        <v>0.69</v>
      </c>
      <c r="F46">
        <v>0.71</v>
      </c>
      <c r="G46">
        <f t="shared" si="0"/>
        <v>1.71</v>
      </c>
      <c r="H46">
        <f t="shared" si="1"/>
        <v>0.23299611039215382</v>
      </c>
      <c r="I46">
        <f t="shared" si="3"/>
        <v>40</v>
      </c>
      <c r="J46" s="23">
        <f t="shared" si="2"/>
        <v>0.8</v>
      </c>
    </row>
    <row r="47" spans="2:10" x14ac:dyDescent="0.35">
      <c r="D47">
        <v>0.62</v>
      </c>
      <c r="F47">
        <v>0.72</v>
      </c>
      <c r="G47">
        <f t="shared" si="0"/>
        <v>1.72</v>
      </c>
      <c r="H47">
        <f t="shared" si="1"/>
        <v>0.2355284469075489</v>
      </c>
      <c r="I47">
        <f t="shared" si="3"/>
        <v>41</v>
      </c>
      <c r="J47" s="23">
        <f t="shared" si="2"/>
        <v>0.82</v>
      </c>
    </row>
    <row r="48" spans="2:10" x14ac:dyDescent="0.35">
      <c r="D48">
        <v>0.75</v>
      </c>
      <c r="F48">
        <v>0.75</v>
      </c>
      <c r="G48">
        <f t="shared" si="0"/>
        <v>1.75</v>
      </c>
      <c r="H48">
        <f t="shared" si="1"/>
        <v>0.24303804868629444</v>
      </c>
      <c r="I48">
        <f t="shared" si="3"/>
        <v>42</v>
      </c>
      <c r="J48" s="23">
        <f t="shared" si="2"/>
        <v>0.84</v>
      </c>
    </row>
    <row r="49" spans="4:10" x14ac:dyDescent="0.35">
      <c r="D49">
        <v>0.56000000000000005</v>
      </c>
      <c r="F49">
        <v>0.75</v>
      </c>
      <c r="G49">
        <f t="shared" si="0"/>
        <v>1.75</v>
      </c>
      <c r="H49">
        <f t="shared" si="1"/>
        <v>0.24303804868629444</v>
      </c>
      <c r="I49">
        <f t="shared" si="3"/>
        <v>43</v>
      </c>
      <c r="J49" s="23">
        <f t="shared" si="2"/>
        <v>0.86</v>
      </c>
    </row>
    <row r="50" spans="4:10" x14ac:dyDescent="0.35">
      <c r="D50">
        <v>0.83</v>
      </c>
      <c r="F50">
        <v>0.77</v>
      </c>
      <c r="G50">
        <f t="shared" si="0"/>
        <v>1.77</v>
      </c>
      <c r="H50">
        <f t="shared" si="1"/>
        <v>0.24797326636180664</v>
      </c>
      <c r="I50">
        <f t="shared" si="3"/>
        <v>44</v>
      </c>
      <c r="J50" s="23">
        <f t="shared" si="2"/>
        <v>0.88</v>
      </c>
    </row>
    <row r="51" spans="4:10" x14ac:dyDescent="0.35">
      <c r="D51">
        <v>0.49</v>
      </c>
      <c r="F51">
        <v>0.82</v>
      </c>
      <c r="G51">
        <f t="shared" si="0"/>
        <v>1.8199999999999998</v>
      </c>
      <c r="H51">
        <f t="shared" si="1"/>
        <v>0.26007138798507473</v>
      </c>
      <c r="I51">
        <f t="shared" si="3"/>
        <v>45</v>
      </c>
      <c r="J51" s="23">
        <f t="shared" si="2"/>
        <v>0.9</v>
      </c>
    </row>
    <row r="52" spans="4:10" x14ac:dyDescent="0.35">
      <c r="D52">
        <v>0.66</v>
      </c>
      <c r="F52">
        <v>0.83</v>
      </c>
      <c r="G52">
        <f t="shared" si="0"/>
        <v>1.83</v>
      </c>
      <c r="H52">
        <f t="shared" si="1"/>
        <v>0.26245108973042947</v>
      </c>
      <c r="I52">
        <f t="shared" si="3"/>
        <v>46</v>
      </c>
      <c r="J52" s="23">
        <f t="shared" si="2"/>
        <v>0.92</v>
      </c>
    </row>
    <row r="53" spans="4:10" x14ac:dyDescent="0.35">
      <c r="D53">
        <v>0.43</v>
      </c>
      <c r="F53">
        <v>0.84</v>
      </c>
      <c r="G53">
        <f t="shared" si="0"/>
        <v>1.8399999999999999</v>
      </c>
      <c r="H53">
        <f t="shared" si="1"/>
        <v>0.26481782300953643</v>
      </c>
      <c r="I53">
        <f t="shared" si="3"/>
        <v>47</v>
      </c>
      <c r="J53" s="23">
        <f t="shared" si="2"/>
        <v>0.94</v>
      </c>
    </row>
    <row r="54" spans="4:10" x14ac:dyDescent="0.35">
      <c r="D54">
        <v>0.42</v>
      </c>
      <c r="F54">
        <v>0.99</v>
      </c>
      <c r="G54">
        <f t="shared" si="0"/>
        <v>1.99</v>
      </c>
      <c r="H54">
        <f t="shared" si="1"/>
        <v>0.29885307640970665</v>
      </c>
      <c r="I54">
        <f t="shared" si="3"/>
        <v>48</v>
      </c>
      <c r="J54" s="23">
        <f t="shared" si="2"/>
        <v>0.96</v>
      </c>
    </row>
    <row r="55" spans="4:10" x14ac:dyDescent="0.35">
      <c r="D55">
        <v>0.57999999999999996</v>
      </c>
      <c r="F55">
        <v>1.17</v>
      </c>
      <c r="G55">
        <f t="shared" si="0"/>
        <v>2.17</v>
      </c>
      <c r="H55">
        <f t="shared" si="1"/>
        <v>0.33645973384852951</v>
      </c>
      <c r="I55">
        <f t="shared" si="3"/>
        <v>49</v>
      </c>
      <c r="J55" s="23">
        <f t="shared" si="2"/>
        <v>0.98</v>
      </c>
    </row>
    <row r="56" spans="4:10" x14ac:dyDescent="0.35">
      <c r="D56">
        <v>0.6</v>
      </c>
      <c r="F56">
        <v>1.39</v>
      </c>
      <c r="G56">
        <f t="shared" si="0"/>
        <v>2.3899999999999997</v>
      </c>
      <c r="H56">
        <f t="shared" si="1"/>
        <v>0.37839790094813763</v>
      </c>
      <c r="I56">
        <f t="shared" si="3"/>
        <v>50</v>
      </c>
      <c r="J56" s="23">
        <f t="shared" si="2"/>
        <v>1</v>
      </c>
    </row>
    <row r="58" spans="4:10" ht="15" x14ac:dyDescent="0.4">
      <c r="D58" s="6">
        <f>SUM(D7:D56)/50</f>
        <v>0.57779999999999998</v>
      </c>
    </row>
  </sheetData>
  <sortState ref="F7:F56">
    <sortCondition ref="F7:F56"/>
  </sortState>
  <mergeCells count="1">
    <mergeCell ref="T3:U3"/>
  </mergeCells>
  <phoneticPr fontId="1" type="noConversion"/>
  <pageMargins left="0.75" right="0.75" top="1" bottom="1" header="0.5" footer="0.5"/>
  <headerFooter alignWithMargins="0"/>
  <ignoredErrors>
    <ignoredError sqref="G4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6"/>
  <sheetViews>
    <sheetView topLeftCell="H14" workbookViewId="0">
      <selection activeCell="L59" sqref="L59"/>
    </sheetView>
  </sheetViews>
  <sheetFormatPr defaultRowHeight="12.75" x14ac:dyDescent="0.35"/>
  <cols>
    <col min="1" max="1" width="12.796875" customWidth="1"/>
    <col min="5" max="5" width="11" customWidth="1"/>
  </cols>
  <sheetData>
    <row r="1" spans="1:19" x14ac:dyDescent="0.35">
      <c r="A1" t="s">
        <v>0</v>
      </c>
    </row>
    <row r="2" spans="1:19" x14ac:dyDescent="0.35">
      <c r="A2" t="s">
        <v>91</v>
      </c>
    </row>
    <row r="3" spans="1:19" x14ac:dyDescent="0.35">
      <c r="A3" t="s">
        <v>4</v>
      </c>
      <c r="B3" s="3" t="s">
        <v>32</v>
      </c>
      <c r="C3" s="3"/>
      <c r="D3" s="3"/>
      <c r="E3" s="3"/>
      <c r="F3" s="3"/>
      <c r="G3" s="3"/>
      <c r="I3" s="3" t="s">
        <v>32</v>
      </c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5">
      <c r="A4" t="s">
        <v>2</v>
      </c>
      <c r="B4">
        <v>406021</v>
      </c>
      <c r="I4">
        <v>406021</v>
      </c>
    </row>
    <row r="5" spans="1:19" x14ac:dyDescent="0.35">
      <c r="A5" t="s">
        <v>1</v>
      </c>
      <c r="B5">
        <v>5455715</v>
      </c>
      <c r="D5" t="s">
        <v>257</v>
      </c>
      <c r="I5">
        <v>5455715</v>
      </c>
    </row>
    <row r="6" spans="1:19" x14ac:dyDescent="0.35">
      <c r="B6" t="s">
        <v>33</v>
      </c>
      <c r="D6" s="16" t="s">
        <v>258</v>
      </c>
      <c r="E6" s="35" t="s">
        <v>34</v>
      </c>
      <c r="G6" t="s">
        <v>93</v>
      </c>
      <c r="H6" t="s">
        <v>34</v>
      </c>
      <c r="I6" t="s">
        <v>33</v>
      </c>
    </row>
    <row r="7" spans="1:19" x14ac:dyDescent="0.35">
      <c r="B7">
        <v>0.53</v>
      </c>
      <c r="G7" s="14">
        <f>H7*100/138</f>
        <v>0.72463768115942029</v>
      </c>
      <c r="H7">
        <v>1</v>
      </c>
      <c r="I7" s="30">
        <v>0.26</v>
      </c>
      <c r="J7">
        <f t="shared" ref="J7:J38" si="0">I7+1</f>
        <v>1.26</v>
      </c>
      <c r="K7">
        <f t="shared" ref="K7:K38" si="1">LOG10(J7)</f>
        <v>0.10037054511756291</v>
      </c>
    </row>
    <row r="8" spans="1:19" x14ac:dyDescent="0.35">
      <c r="B8">
        <v>0.56999999999999995</v>
      </c>
      <c r="D8" s="37" t="s">
        <v>200</v>
      </c>
      <c r="E8" s="38">
        <f>SUM(IF((I7:I144&gt;0.2)+(I7:I144&lt;0.299),1,0))</f>
        <v>1</v>
      </c>
      <c r="F8" s="36"/>
      <c r="G8" s="14">
        <f t="shared" ref="G8:G71" si="2">H8*100/138</f>
        <v>1.4492753623188406</v>
      </c>
      <c r="H8">
        <f>H7+1</f>
        <v>2</v>
      </c>
      <c r="I8" s="30">
        <v>0.31</v>
      </c>
      <c r="J8">
        <f t="shared" si="0"/>
        <v>1.31</v>
      </c>
      <c r="K8">
        <f t="shared" si="1"/>
        <v>0.11727129565576427</v>
      </c>
    </row>
    <row r="9" spans="1:19" x14ac:dyDescent="0.35">
      <c r="B9">
        <v>0.56999999999999995</v>
      </c>
      <c r="D9" s="37" t="s">
        <v>199</v>
      </c>
      <c r="E9" s="38">
        <f>COUNTIF(I7:I144,"&gt;=0.3")-COUNTIF(I7:I144,"&gt;0.399")</f>
        <v>13</v>
      </c>
      <c r="G9" s="14">
        <f t="shared" si="2"/>
        <v>2.1739130434782608</v>
      </c>
      <c r="H9">
        <f t="shared" ref="H9:H72" si="3">H8+1</f>
        <v>3</v>
      </c>
      <c r="I9" s="30">
        <v>0.33</v>
      </c>
      <c r="J9">
        <f t="shared" si="0"/>
        <v>1.33</v>
      </c>
      <c r="K9">
        <f t="shared" si="1"/>
        <v>0.12385164096708581</v>
      </c>
    </row>
    <row r="10" spans="1:19" x14ac:dyDescent="0.35">
      <c r="B10">
        <v>0.51</v>
      </c>
      <c r="D10" s="37" t="s">
        <v>201</v>
      </c>
      <c r="E10" s="38">
        <f>COUNTIF(I$7:I$144,"&gt;=0.4")-COUNTIF(I$7:I$144,"&gt;0.499")</f>
        <v>44</v>
      </c>
      <c r="G10" s="14">
        <f t="shared" si="2"/>
        <v>2.8985507246376812</v>
      </c>
      <c r="H10">
        <f t="shared" si="3"/>
        <v>4</v>
      </c>
      <c r="I10" s="30">
        <v>0.34</v>
      </c>
      <c r="J10">
        <f t="shared" si="0"/>
        <v>1.34</v>
      </c>
      <c r="K10">
        <f t="shared" si="1"/>
        <v>0.12710479836480765</v>
      </c>
    </row>
    <row r="11" spans="1:19" x14ac:dyDescent="0.35">
      <c r="B11">
        <v>0.56000000000000005</v>
      </c>
      <c r="D11" s="37" t="s">
        <v>202</v>
      </c>
      <c r="E11" s="38">
        <f>COUNTIF(I$7:I$144,"&gt;=0.5")-COUNTIF(I$7:I$144,"&gt;0.599")</f>
        <v>28</v>
      </c>
      <c r="G11" s="14">
        <f t="shared" si="2"/>
        <v>3.6231884057971016</v>
      </c>
      <c r="H11">
        <f t="shared" si="3"/>
        <v>5</v>
      </c>
      <c r="I11" s="30">
        <v>0.35</v>
      </c>
      <c r="J11">
        <f t="shared" si="0"/>
        <v>1.35</v>
      </c>
      <c r="K11">
        <f t="shared" si="1"/>
        <v>0.13033376849500614</v>
      </c>
    </row>
    <row r="12" spans="1:19" x14ac:dyDescent="0.35">
      <c r="B12">
        <v>0.56999999999999995</v>
      </c>
      <c r="D12" s="37" t="s">
        <v>203</v>
      </c>
      <c r="E12" s="38">
        <f>COUNTIF(I$7:I$144,"&gt;=0.6")-COUNTIF(I$7:I$144,"&gt;0699")</f>
        <v>52</v>
      </c>
      <c r="G12" s="14">
        <f t="shared" si="2"/>
        <v>4.3478260869565215</v>
      </c>
      <c r="H12">
        <f t="shared" si="3"/>
        <v>6</v>
      </c>
      <c r="I12" s="30">
        <v>0.36</v>
      </c>
      <c r="J12">
        <f t="shared" si="0"/>
        <v>1.3599999999999999</v>
      </c>
      <c r="K12">
        <f t="shared" si="1"/>
        <v>0.13353890837021748</v>
      </c>
    </row>
    <row r="13" spans="1:19" x14ac:dyDescent="0.35">
      <c r="B13">
        <v>0.52</v>
      </c>
      <c r="D13" s="37" t="s">
        <v>204</v>
      </c>
      <c r="E13" s="38">
        <f>COUNTIF(I$7:I$144,"&gt;=0.7")-COUNTIF(I$7:I$144,"&gt;0.799")</f>
        <v>9</v>
      </c>
      <c r="G13" s="14">
        <f t="shared" si="2"/>
        <v>5.0724637681159424</v>
      </c>
      <c r="H13">
        <f t="shared" si="3"/>
        <v>7</v>
      </c>
      <c r="I13" s="30">
        <v>0.37</v>
      </c>
      <c r="J13">
        <f t="shared" si="0"/>
        <v>1.37</v>
      </c>
      <c r="K13">
        <f t="shared" si="1"/>
        <v>0.13672056715640679</v>
      </c>
    </row>
    <row r="14" spans="1:19" x14ac:dyDescent="0.35">
      <c r="B14">
        <v>0.51</v>
      </c>
      <c r="D14" s="37" t="s">
        <v>205</v>
      </c>
      <c r="E14" s="38">
        <f>COUNTIF(I$7:I$144,"&gt;=0.8")-COUNTIF(I$7:I$144,"&gt;0.899")</f>
        <v>2</v>
      </c>
      <c r="G14" s="14">
        <f t="shared" si="2"/>
        <v>5.7971014492753623</v>
      </c>
      <c r="H14">
        <f t="shared" si="3"/>
        <v>8</v>
      </c>
      <c r="I14" s="30">
        <v>0.37</v>
      </c>
      <c r="J14">
        <f t="shared" si="0"/>
        <v>1.37</v>
      </c>
      <c r="K14">
        <f t="shared" si="1"/>
        <v>0.13672056715640679</v>
      </c>
    </row>
    <row r="15" spans="1:19" x14ac:dyDescent="0.35">
      <c r="B15">
        <v>0.46</v>
      </c>
      <c r="D15" s="37" t="s">
        <v>206</v>
      </c>
      <c r="E15" s="38">
        <f>COUNTIF(I$7:I$144,"&gt;=0.9")-COUNTIF(I$7:I$144,"&gt;0.999")</f>
        <v>2</v>
      </c>
      <c r="G15" s="14">
        <f t="shared" si="2"/>
        <v>6.5217391304347823</v>
      </c>
      <c r="H15">
        <f t="shared" si="3"/>
        <v>9</v>
      </c>
      <c r="I15" s="30">
        <v>0.38</v>
      </c>
      <c r="J15">
        <f t="shared" si="0"/>
        <v>1.38</v>
      </c>
      <c r="K15">
        <f t="shared" si="1"/>
        <v>0.13987908640123647</v>
      </c>
    </row>
    <row r="16" spans="1:19" x14ac:dyDescent="0.35">
      <c r="B16">
        <v>0.55000000000000004</v>
      </c>
      <c r="D16" s="37" t="s">
        <v>207</v>
      </c>
      <c r="E16" s="38">
        <f>COUNTIF(I$7:I$144,"&gt;=1.0")-COUNTIF(I$7:I$144,"&gt;1.099")</f>
        <v>0</v>
      </c>
      <c r="G16" s="14">
        <f t="shared" si="2"/>
        <v>7.2463768115942031</v>
      </c>
      <c r="H16">
        <f t="shared" si="3"/>
        <v>10</v>
      </c>
      <c r="I16" s="30">
        <v>0.38</v>
      </c>
      <c r="J16">
        <f t="shared" si="0"/>
        <v>1.38</v>
      </c>
      <c r="K16">
        <f t="shared" si="1"/>
        <v>0.13987908640123647</v>
      </c>
    </row>
    <row r="17" spans="2:11" x14ac:dyDescent="0.35">
      <c r="B17">
        <v>0.64</v>
      </c>
      <c r="D17" s="37" t="s">
        <v>208</v>
      </c>
      <c r="E17" s="38">
        <f>COUNTIF(I$7:I$144,"&gt;=1.1")-COUNTIF(I$7:I$144,"&gt;1.199")</f>
        <v>2</v>
      </c>
      <c r="G17" s="14">
        <f t="shared" si="2"/>
        <v>7.9710144927536231</v>
      </c>
      <c r="H17">
        <f t="shared" si="3"/>
        <v>11</v>
      </c>
      <c r="I17" s="30">
        <v>0.38</v>
      </c>
      <c r="J17">
        <f t="shared" si="0"/>
        <v>1.38</v>
      </c>
      <c r="K17">
        <f t="shared" si="1"/>
        <v>0.13987908640123647</v>
      </c>
    </row>
    <row r="18" spans="2:11" x14ac:dyDescent="0.35">
      <c r="B18">
        <v>0.54</v>
      </c>
      <c r="D18" s="37" t="s">
        <v>209</v>
      </c>
      <c r="E18" s="38">
        <f>COUNTIF(I$7:I$144,"&gt;=1.2")-COUNTIF(I$7:I$144,"&gt;1.299")</f>
        <v>2</v>
      </c>
      <c r="G18" s="14">
        <f t="shared" si="2"/>
        <v>8.695652173913043</v>
      </c>
      <c r="H18">
        <f t="shared" si="3"/>
        <v>12</v>
      </c>
      <c r="I18" s="30">
        <v>0.39</v>
      </c>
      <c r="J18">
        <f t="shared" si="0"/>
        <v>1.3900000000000001</v>
      </c>
      <c r="K18">
        <f t="shared" si="1"/>
        <v>0.14301480025409513</v>
      </c>
    </row>
    <row r="19" spans="2:11" x14ac:dyDescent="0.35">
      <c r="B19">
        <v>0.51</v>
      </c>
      <c r="D19" s="37" t="s">
        <v>210</v>
      </c>
      <c r="E19" s="38">
        <f>COUNTIF(I$7:I$144,"&gt;=1.3")-COUNTIF(I$7:I$144,"&gt;1.399")</f>
        <v>3</v>
      </c>
      <c r="G19" s="14">
        <f t="shared" si="2"/>
        <v>9.420289855072463</v>
      </c>
      <c r="H19">
        <f t="shared" si="3"/>
        <v>13</v>
      </c>
      <c r="I19" s="30">
        <v>0.39</v>
      </c>
      <c r="J19">
        <f t="shared" si="0"/>
        <v>1.3900000000000001</v>
      </c>
      <c r="K19">
        <f t="shared" si="1"/>
        <v>0.14301480025409513</v>
      </c>
    </row>
    <row r="20" spans="2:11" x14ac:dyDescent="0.35">
      <c r="B20">
        <v>0.41</v>
      </c>
      <c r="D20" s="37" t="s">
        <v>211</v>
      </c>
      <c r="E20" s="38">
        <f>COUNTIF(I$7:I$144,"&gt;=1.4")-COUNTIF(I$7:I$144,"&gt;1.499")</f>
        <v>3</v>
      </c>
      <c r="G20" s="14">
        <f t="shared" si="2"/>
        <v>10.144927536231885</v>
      </c>
      <c r="H20">
        <f t="shared" si="3"/>
        <v>14</v>
      </c>
      <c r="I20" s="30">
        <v>0.39</v>
      </c>
      <c r="J20">
        <f t="shared" si="0"/>
        <v>1.3900000000000001</v>
      </c>
      <c r="K20">
        <f t="shared" si="1"/>
        <v>0.14301480025409513</v>
      </c>
    </row>
    <row r="21" spans="2:11" x14ac:dyDescent="0.35">
      <c r="B21">
        <v>0.6</v>
      </c>
      <c r="D21" s="37" t="s">
        <v>212</v>
      </c>
      <c r="E21" s="38">
        <f>COUNTIF(I$7:I$144,"&gt;=1.5")-COUNTIF(I$7:I$144,"&gt;1.599")</f>
        <v>3</v>
      </c>
      <c r="G21" s="14">
        <f t="shared" si="2"/>
        <v>10.869565217391305</v>
      </c>
      <c r="H21">
        <f t="shared" si="3"/>
        <v>15</v>
      </c>
      <c r="I21" s="30">
        <v>0.4</v>
      </c>
      <c r="J21">
        <f t="shared" si="0"/>
        <v>1.4</v>
      </c>
      <c r="K21">
        <f t="shared" si="1"/>
        <v>0.14612803567823801</v>
      </c>
    </row>
    <row r="22" spans="2:11" x14ac:dyDescent="0.35">
      <c r="B22">
        <v>0.57999999999999996</v>
      </c>
      <c r="D22" s="37" t="s">
        <v>213</v>
      </c>
      <c r="E22" s="38">
        <f>COUNTIF(I$7:I$144,"&gt;=1.6")-COUNTIF(I$7:I$144,"&gt;1.699")</f>
        <v>2</v>
      </c>
      <c r="G22" s="14">
        <f t="shared" si="2"/>
        <v>11.594202898550725</v>
      </c>
      <c r="H22">
        <f t="shared" si="3"/>
        <v>16</v>
      </c>
      <c r="I22" s="30">
        <v>0.4</v>
      </c>
      <c r="J22">
        <f t="shared" si="0"/>
        <v>1.4</v>
      </c>
      <c r="K22">
        <f t="shared" si="1"/>
        <v>0.14612803567823801</v>
      </c>
    </row>
    <row r="23" spans="2:11" x14ac:dyDescent="0.35">
      <c r="B23">
        <v>0.47</v>
      </c>
      <c r="D23" s="37" t="s">
        <v>214</v>
      </c>
      <c r="E23" s="38">
        <f>COUNTIF(I$7:I$144,"&gt;=1.7")-COUNTIF(I$7:I$144,"&gt;1.799")</f>
        <v>0</v>
      </c>
      <c r="G23" s="14">
        <f t="shared" si="2"/>
        <v>12.318840579710145</v>
      </c>
      <c r="H23">
        <f t="shared" si="3"/>
        <v>17</v>
      </c>
      <c r="I23" s="30">
        <v>0.4</v>
      </c>
      <c r="J23">
        <f t="shared" si="0"/>
        <v>1.4</v>
      </c>
      <c r="K23">
        <f t="shared" si="1"/>
        <v>0.14612803567823801</v>
      </c>
    </row>
    <row r="24" spans="2:11" x14ac:dyDescent="0.35">
      <c r="B24">
        <v>0.63</v>
      </c>
      <c r="D24" s="37" t="s">
        <v>215</v>
      </c>
      <c r="E24" s="38">
        <f>COUNTIF(I$7:I$144,"&gt;=1.8")-COUNTIF(I$7:I$144,"&gt;1.899")</f>
        <v>1</v>
      </c>
      <c r="G24" s="14">
        <f t="shared" si="2"/>
        <v>13.043478260869565</v>
      </c>
      <c r="H24">
        <f t="shared" si="3"/>
        <v>18</v>
      </c>
      <c r="I24" s="30">
        <v>0.4</v>
      </c>
      <c r="J24">
        <f t="shared" si="0"/>
        <v>1.4</v>
      </c>
      <c r="K24">
        <f t="shared" si="1"/>
        <v>0.14612803567823801</v>
      </c>
    </row>
    <row r="25" spans="2:11" x14ac:dyDescent="0.35">
      <c r="B25">
        <v>0.6</v>
      </c>
      <c r="D25" s="37" t="s">
        <v>216</v>
      </c>
      <c r="E25" s="38">
        <f>COUNTIF(I$7:I$144,"&gt;=1.9")-COUNTIF(I$7:I$144,"&gt;1.999")</f>
        <v>3</v>
      </c>
      <c r="G25" s="14">
        <f t="shared" si="2"/>
        <v>13.768115942028986</v>
      </c>
      <c r="H25">
        <f t="shared" si="3"/>
        <v>19</v>
      </c>
      <c r="I25" s="30">
        <v>0.4</v>
      </c>
      <c r="J25">
        <f t="shared" si="0"/>
        <v>1.4</v>
      </c>
      <c r="K25">
        <f t="shared" si="1"/>
        <v>0.14612803567823801</v>
      </c>
    </row>
    <row r="26" spans="2:11" x14ac:dyDescent="0.35">
      <c r="B26">
        <v>0.41</v>
      </c>
      <c r="D26" s="37" t="s">
        <v>217</v>
      </c>
      <c r="E26" s="38">
        <f>COUNTIF(I$7:I$144,"&gt;=2")</f>
        <v>7</v>
      </c>
      <c r="G26" s="14">
        <f t="shared" si="2"/>
        <v>14.492753623188406</v>
      </c>
      <c r="H26">
        <f t="shared" si="3"/>
        <v>20</v>
      </c>
      <c r="I26" s="30">
        <v>0.4</v>
      </c>
      <c r="J26">
        <f t="shared" si="0"/>
        <v>1.4</v>
      </c>
      <c r="K26">
        <f t="shared" si="1"/>
        <v>0.14612803567823801</v>
      </c>
    </row>
    <row r="27" spans="2:11" x14ac:dyDescent="0.35">
      <c r="B27">
        <v>0.42</v>
      </c>
      <c r="G27" s="14">
        <f t="shared" si="2"/>
        <v>15.217391304347826</v>
      </c>
      <c r="H27">
        <f t="shared" si="3"/>
        <v>21</v>
      </c>
      <c r="I27" s="30">
        <v>0.4</v>
      </c>
      <c r="J27">
        <f t="shared" si="0"/>
        <v>1.4</v>
      </c>
      <c r="K27">
        <f t="shared" si="1"/>
        <v>0.14612803567823801</v>
      </c>
    </row>
    <row r="28" spans="2:11" x14ac:dyDescent="0.35">
      <c r="B28">
        <v>0.43</v>
      </c>
      <c r="G28" s="14">
        <f t="shared" si="2"/>
        <v>15.942028985507246</v>
      </c>
      <c r="H28">
        <f t="shared" si="3"/>
        <v>22</v>
      </c>
      <c r="I28" s="30">
        <v>0.4</v>
      </c>
      <c r="J28">
        <f t="shared" si="0"/>
        <v>1.4</v>
      </c>
      <c r="K28">
        <f t="shared" si="1"/>
        <v>0.14612803567823801</v>
      </c>
    </row>
    <row r="29" spans="2:11" x14ac:dyDescent="0.35">
      <c r="B29">
        <v>0.46</v>
      </c>
      <c r="G29" s="14">
        <f t="shared" si="2"/>
        <v>16.666666666666668</v>
      </c>
      <c r="H29">
        <f t="shared" si="3"/>
        <v>23</v>
      </c>
      <c r="I29" s="30">
        <v>0.4</v>
      </c>
      <c r="J29">
        <f t="shared" si="0"/>
        <v>1.4</v>
      </c>
      <c r="K29">
        <f t="shared" si="1"/>
        <v>0.14612803567823801</v>
      </c>
    </row>
    <row r="30" spans="2:11" x14ac:dyDescent="0.35">
      <c r="B30">
        <v>0.37</v>
      </c>
      <c r="G30" s="14">
        <f t="shared" si="2"/>
        <v>17.391304347826086</v>
      </c>
      <c r="H30">
        <f t="shared" si="3"/>
        <v>24</v>
      </c>
      <c r="I30" s="30">
        <v>0.41</v>
      </c>
      <c r="J30">
        <f t="shared" si="0"/>
        <v>1.41</v>
      </c>
      <c r="K30">
        <f t="shared" si="1"/>
        <v>0.14921911265537988</v>
      </c>
    </row>
    <row r="31" spans="2:11" x14ac:dyDescent="0.35">
      <c r="B31">
        <v>0.43</v>
      </c>
      <c r="G31" s="14">
        <f t="shared" si="2"/>
        <v>18.115942028985508</v>
      </c>
      <c r="H31">
        <f t="shared" si="3"/>
        <v>25</v>
      </c>
      <c r="I31" s="30">
        <v>0.41</v>
      </c>
      <c r="J31">
        <f t="shared" si="0"/>
        <v>1.41</v>
      </c>
      <c r="K31">
        <f t="shared" si="1"/>
        <v>0.14921911265537988</v>
      </c>
    </row>
    <row r="32" spans="2:11" x14ac:dyDescent="0.35">
      <c r="B32">
        <v>0.45</v>
      </c>
      <c r="G32" s="14">
        <f t="shared" si="2"/>
        <v>18.840579710144926</v>
      </c>
      <c r="H32">
        <f t="shared" si="3"/>
        <v>26</v>
      </c>
      <c r="I32" s="30">
        <v>0.41</v>
      </c>
      <c r="J32">
        <f t="shared" si="0"/>
        <v>1.41</v>
      </c>
      <c r="K32">
        <f t="shared" si="1"/>
        <v>0.14921911265537988</v>
      </c>
    </row>
    <row r="33" spans="2:13" x14ac:dyDescent="0.35">
      <c r="B33">
        <v>0.47</v>
      </c>
      <c r="G33" s="14">
        <f t="shared" si="2"/>
        <v>19.565217391304348</v>
      </c>
      <c r="H33">
        <f t="shared" si="3"/>
        <v>27</v>
      </c>
      <c r="I33" s="30">
        <v>0.41</v>
      </c>
      <c r="J33">
        <f t="shared" si="0"/>
        <v>1.41</v>
      </c>
      <c r="K33">
        <f t="shared" si="1"/>
        <v>0.14921911265537988</v>
      </c>
    </row>
    <row r="34" spans="2:13" x14ac:dyDescent="0.35">
      <c r="B34">
        <v>0.35</v>
      </c>
      <c r="G34" s="14">
        <f t="shared" si="2"/>
        <v>20.289855072463769</v>
      </c>
      <c r="H34">
        <f t="shared" si="3"/>
        <v>28</v>
      </c>
      <c r="I34" s="30">
        <v>0.41</v>
      </c>
      <c r="J34">
        <f t="shared" si="0"/>
        <v>1.41</v>
      </c>
      <c r="K34">
        <f t="shared" si="1"/>
        <v>0.14921911265537988</v>
      </c>
    </row>
    <row r="35" spans="2:13" x14ac:dyDescent="0.35">
      <c r="B35">
        <v>0.42</v>
      </c>
      <c r="G35" s="14">
        <f t="shared" si="2"/>
        <v>21.014492753623188</v>
      </c>
      <c r="H35">
        <f t="shared" si="3"/>
        <v>29</v>
      </c>
      <c r="I35" s="30">
        <v>0.41</v>
      </c>
      <c r="J35">
        <f t="shared" si="0"/>
        <v>1.41</v>
      </c>
      <c r="K35">
        <f t="shared" si="1"/>
        <v>0.14921911265537988</v>
      </c>
    </row>
    <row r="36" spans="2:13" x14ac:dyDescent="0.35">
      <c r="B36">
        <v>0.48</v>
      </c>
      <c r="G36" s="14">
        <f t="shared" si="2"/>
        <v>21.739130434782609</v>
      </c>
      <c r="H36">
        <f t="shared" si="3"/>
        <v>30</v>
      </c>
      <c r="I36" s="30">
        <v>0.41</v>
      </c>
      <c r="J36">
        <f t="shared" si="0"/>
        <v>1.41</v>
      </c>
      <c r="K36">
        <f t="shared" si="1"/>
        <v>0.14921911265537988</v>
      </c>
      <c r="M36" t="s">
        <v>166</v>
      </c>
    </row>
    <row r="37" spans="2:13" x14ac:dyDescent="0.35">
      <c r="B37">
        <v>0.39</v>
      </c>
      <c r="G37" s="14">
        <f t="shared" si="2"/>
        <v>22.463768115942027</v>
      </c>
      <c r="H37">
        <f t="shared" si="3"/>
        <v>31</v>
      </c>
      <c r="I37" s="30">
        <v>0.42</v>
      </c>
      <c r="J37">
        <f t="shared" si="0"/>
        <v>1.42</v>
      </c>
      <c r="K37">
        <f t="shared" si="1"/>
        <v>0.15228834438305647</v>
      </c>
      <c r="M37" t="s">
        <v>167</v>
      </c>
    </row>
    <row r="38" spans="2:13" x14ac:dyDescent="0.35">
      <c r="B38">
        <v>0.68</v>
      </c>
      <c r="G38" s="14">
        <f t="shared" si="2"/>
        <v>23.188405797101449</v>
      </c>
      <c r="H38">
        <f t="shared" si="3"/>
        <v>32</v>
      </c>
      <c r="I38" s="30">
        <v>0.42</v>
      </c>
      <c r="J38">
        <f t="shared" si="0"/>
        <v>1.42</v>
      </c>
      <c r="K38">
        <f t="shared" si="1"/>
        <v>0.15228834438305647</v>
      </c>
      <c r="M38" t="s">
        <v>168</v>
      </c>
    </row>
    <row r="39" spans="2:13" x14ac:dyDescent="0.35">
      <c r="B39">
        <v>0.54</v>
      </c>
      <c r="G39" s="14">
        <f t="shared" si="2"/>
        <v>23.913043478260871</v>
      </c>
      <c r="H39">
        <f t="shared" si="3"/>
        <v>33</v>
      </c>
      <c r="I39" s="30">
        <v>0.42</v>
      </c>
      <c r="J39">
        <f t="shared" ref="J39:J70" si="4">I39+1</f>
        <v>1.42</v>
      </c>
      <c r="K39">
        <f t="shared" ref="K39:K70" si="5">LOG10(J39)</f>
        <v>0.15228834438305647</v>
      </c>
    </row>
    <row r="40" spans="2:13" x14ac:dyDescent="0.35">
      <c r="B40">
        <v>0.4</v>
      </c>
      <c r="G40" s="14">
        <f t="shared" si="2"/>
        <v>24.637681159420289</v>
      </c>
      <c r="H40">
        <f t="shared" si="3"/>
        <v>34</v>
      </c>
      <c r="I40" s="30">
        <v>0.42</v>
      </c>
      <c r="J40">
        <f t="shared" si="4"/>
        <v>1.42</v>
      </c>
      <c r="K40">
        <f t="shared" si="5"/>
        <v>0.15228834438305647</v>
      </c>
    </row>
    <row r="41" spans="2:13" x14ac:dyDescent="0.35">
      <c r="B41">
        <v>0.45</v>
      </c>
      <c r="G41" s="14">
        <f t="shared" si="2"/>
        <v>25.362318840579711</v>
      </c>
      <c r="H41">
        <f t="shared" si="3"/>
        <v>35</v>
      </c>
      <c r="I41" s="30">
        <v>0.43</v>
      </c>
      <c r="J41">
        <f t="shared" si="4"/>
        <v>1.43</v>
      </c>
      <c r="K41">
        <f t="shared" si="5"/>
        <v>0.1553360374650618</v>
      </c>
    </row>
    <row r="42" spans="2:13" x14ac:dyDescent="0.35">
      <c r="B42">
        <v>0.41</v>
      </c>
      <c r="G42" s="14">
        <f t="shared" si="2"/>
        <v>26.086956521739129</v>
      </c>
      <c r="H42">
        <f t="shared" si="3"/>
        <v>36</v>
      </c>
      <c r="I42" s="30">
        <v>0.43</v>
      </c>
      <c r="J42">
        <f t="shared" si="4"/>
        <v>1.43</v>
      </c>
      <c r="K42">
        <f t="shared" si="5"/>
        <v>0.1553360374650618</v>
      </c>
    </row>
    <row r="43" spans="2:13" x14ac:dyDescent="0.35">
      <c r="B43">
        <v>0.55000000000000004</v>
      </c>
      <c r="G43" s="14">
        <f t="shared" si="2"/>
        <v>26.811594202898551</v>
      </c>
      <c r="H43">
        <f t="shared" si="3"/>
        <v>37</v>
      </c>
      <c r="I43" s="30">
        <v>0.43</v>
      </c>
      <c r="J43">
        <f t="shared" si="4"/>
        <v>1.43</v>
      </c>
      <c r="K43">
        <f t="shared" si="5"/>
        <v>0.1553360374650618</v>
      </c>
    </row>
    <row r="44" spans="2:13" x14ac:dyDescent="0.35">
      <c r="B44">
        <v>0.56000000000000005</v>
      </c>
      <c r="G44" s="14">
        <f t="shared" si="2"/>
        <v>27.536231884057973</v>
      </c>
      <c r="H44">
        <f t="shared" si="3"/>
        <v>38</v>
      </c>
      <c r="I44" s="30">
        <v>0.43</v>
      </c>
      <c r="J44">
        <f t="shared" si="4"/>
        <v>1.43</v>
      </c>
      <c r="K44">
        <f t="shared" si="5"/>
        <v>0.1553360374650618</v>
      </c>
    </row>
    <row r="45" spans="2:13" x14ac:dyDescent="0.35">
      <c r="B45">
        <v>0.55000000000000004</v>
      </c>
      <c r="G45" s="14">
        <f t="shared" si="2"/>
        <v>28.260869565217391</v>
      </c>
      <c r="H45">
        <f t="shared" si="3"/>
        <v>39</v>
      </c>
      <c r="I45" s="30">
        <v>0.44</v>
      </c>
      <c r="J45">
        <f t="shared" si="4"/>
        <v>1.44</v>
      </c>
      <c r="K45">
        <f t="shared" si="5"/>
        <v>0.15836249209524964</v>
      </c>
    </row>
    <row r="46" spans="2:13" x14ac:dyDescent="0.35">
      <c r="B46">
        <v>0.48</v>
      </c>
      <c r="G46" s="14">
        <f t="shared" si="2"/>
        <v>28.985507246376812</v>
      </c>
      <c r="H46">
        <f t="shared" si="3"/>
        <v>40</v>
      </c>
      <c r="I46" s="30">
        <v>0.44</v>
      </c>
      <c r="J46">
        <f t="shared" si="4"/>
        <v>1.44</v>
      </c>
      <c r="K46">
        <f t="shared" si="5"/>
        <v>0.15836249209524964</v>
      </c>
    </row>
    <row r="47" spans="2:13" x14ac:dyDescent="0.35">
      <c r="B47">
        <v>0.47</v>
      </c>
      <c r="G47" s="14">
        <f t="shared" si="2"/>
        <v>29.710144927536231</v>
      </c>
      <c r="H47">
        <f t="shared" si="3"/>
        <v>41</v>
      </c>
      <c r="I47" s="30">
        <v>0.45</v>
      </c>
      <c r="J47">
        <f t="shared" si="4"/>
        <v>1.45</v>
      </c>
      <c r="K47">
        <f t="shared" si="5"/>
        <v>0.16136800223497488</v>
      </c>
    </row>
    <row r="48" spans="2:13" x14ac:dyDescent="0.35">
      <c r="B48">
        <v>0.41</v>
      </c>
      <c r="G48" s="14">
        <f t="shared" si="2"/>
        <v>30.434782608695652</v>
      </c>
      <c r="H48">
        <f t="shared" si="3"/>
        <v>42</v>
      </c>
      <c r="I48" s="30">
        <v>0.45</v>
      </c>
      <c r="J48">
        <f t="shared" si="4"/>
        <v>1.45</v>
      </c>
      <c r="K48">
        <f t="shared" si="5"/>
        <v>0.16136800223497488</v>
      </c>
    </row>
    <row r="49" spans="2:11" x14ac:dyDescent="0.35">
      <c r="B49">
        <v>0.62</v>
      </c>
      <c r="G49" s="14">
        <f t="shared" si="2"/>
        <v>31.159420289855074</v>
      </c>
      <c r="H49">
        <f t="shared" si="3"/>
        <v>43</v>
      </c>
      <c r="I49" s="30">
        <v>0.46</v>
      </c>
      <c r="J49">
        <f t="shared" si="4"/>
        <v>1.46</v>
      </c>
      <c r="K49">
        <f t="shared" si="5"/>
        <v>0.16435285578443709</v>
      </c>
    </row>
    <row r="50" spans="2:11" x14ac:dyDescent="0.35">
      <c r="B50">
        <v>0.57999999999999996</v>
      </c>
      <c r="G50" s="14">
        <f t="shared" si="2"/>
        <v>31.884057971014492</v>
      </c>
      <c r="H50">
        <f t="shared" si="3"/>
        <v>44</v>
      </c>
      <c r="I50" s="30">
        <v>0.46</v>
      </c>
      <c r="J50">
        <f t="shared" si="4"/>
        <v>1.46</v>
      </c>
      <c r="K50">
        <f t="shared" si="5"/>
        <v>0.16435285578443709</v>
      </c>
    </row>
    <row r="51" spans="2:11" x14ac:dyDescent="0.35">
      <c r="B51">
        <v>0.57999999999999996</v>
      </c>
      <c r="G51" s="14">
        <f t="shared" si="2"/>
        <v>32.608695652173914</v>
      </c>
      <c r="H51">
        <f t="shared" si="3"/>
        <v>45</v>
      </c>
      <c r="I51" s="30">
        <v>0.46</v>
      </c>
      <c r="J51">
        <f t="shared" si="4"/>
        <v>1.46</v>
      </c>
      <c r="K51">
        <f t="shared" si="5"/>
        <v>0.16435285578443709</v>
      </c>
    </row>
    <row r="52" spans="2:11" x14ac:dyDescent="0.35">
      <c r="B52">
        <v>0.55000000000000004</v>
      </c>
      <c r="G52" s="14">
        <f t="shared" si="2"/>
        <v>33.333333333333336</v>
      </c>
      <c r="H52">
        <f t="shared" si="3"/>
        <v>46</v>
      </c>
      <c r="I52" s="30">
        <v>0.47</v>
      </c>
      <c r="J52">
        <f t="shared" si="4"/>
        <v>1.47</v>
      </c>
      <c r="K52">
        <f t="shared" si="5"/>
        <v>0.16731733474817609</v>
      </c>
    </row>
    <row r="53" spans="2:11" x14ac:dyDescent="0.35">
      <c r="B53">
        <v>0.47</v>
      </c>
      <c r="G53" s="14">
        <f t="shared" si="2"/>
        <v>34.05797101449275</v>
      </c>
      <c r="H53">
        <f t="shared" si="3"/>
        <v>47</v>
      </c>
      <c r="I53" s="30">
        <v>0.47</v>
      </c>
      <c r="J53">
        <f t="shared" si="4"/>
        <v>1.47</v>
      </c>
      <c r="K53">
        <f t="shared" si="5"/>
        <v>0.16731733474817609</v>
      </c>
    </row>
    <row r="54" spans="2:11" x14ac:dyDescent="0.35">
      <c r="B54">
        <v>0.62</v>
      </c>
      <c r="G54" s="14">
        <f t="shared" si="2"/>
        <v>34.782608695652172</v>
      </c>
      <c r="H54">
        <f t="shared" si="3"/>
        <v>48</v>
      </c>
      <c r="I54" s="30">
        <v>0.47</v>
      </c>
      <c r="J54">
        <f t="shared" si="4"/>
        <v>1.47</v>
      </c>
      <c r="K54">
        <f t="shared" si="5"/>
        <v>0.16731733474817609</v>
      </c>
    </row>
    <row r="55" spans="2:11" x14ac:dyDescent="0.35">
      <c r="B55">
        <v>0.51</v>
      </c>
      <c r="G55" s="14">
        <f t="shared" si="2"/>
        <v>35.507246376811594</v>
      </c>
      <c r="H55">
        <f t="shared" si="3"/>
        <v>49</v>
      </c>
      <c r="I55" s="30">
        <v>0.47</v>
      </c>
      <c r="J55">
        <f t="shared" si="4"/>
        <v>1.47</v>
      </c>
      <c r="K55">
        <f t="shared" si="5"/>
        <v>0.16731733474817609</v>
      </c>
    </row>
    <row r="56" spans="2:11" x14ac:dyDescent="0.35">
      <c r="B56">
        <v>0.43</v>
      </c>
      <c r="G56" s="14">
        <f t="shared" si="2"/>
        <v>36.231884057971016</v>
      </c>
      <c r="H56">
        <f t="shared" si="3"/>
        <v>50</v>
      </c>
      <c r="I56" s="30">
        <v>0.47</v>
      </c>
      <c r="J56">
        <f t="shared" si="4"/>
        <v>1.47</v>
      </c>
      <c r="K56">
        <f t="shared" si="5"/>
        <v>0.16731733474817609</v>
      </c>
    </row>
    <row r="57" spans="2:11" x14ac:dyDescent="0.35">
      <c r="B57">
        <v>0.33</v>
      </c>
      <c r="G57" s="14">
        <f t="shared" si="2"/>
        <v>36.956521739130437</v>
      </c>
      <c r="H57">
        <f t="shared" si="3"/>
        <v>51</v>
      </c>
      <c r="I57" s="30">
        <v>0.47</v>
      </c>
      <c r="J57">
        <f t="shared" si="4"/>
        <v>1.47</v>
      </c>
      <c r="K57">
        <f t="shared" si="5"/>
        <v>0.16731733474817609</v>
      </c>
    </row>
    <row r="58" spans="2:11" x14ac:dyDescent="0.35">
      <c r="B58">
        <v>0.4</v>
      </c>
      <c r="G58" s="14">
        <f t="shared" si="2"/>
        <v>37.681159420289852</v>
      </c>
      <c r="H58">
        <f t="shared" si="3"/>
        <v>52</v>
      </c>
      <c r="I58" s="30">
        <v>0.47</v>
      </c>
      <c r="J58">
        <f t="shared" si="4"/>
        <v>1.47</v>
      </c>
      <c r="K58">
        <f t="shared" si="5"/>
        <v>0.16731733474817609</v>
      </c>
    </row>
    <row r="59" spans="2:11" x14ac:dyDescent="0.35">
      <c r="B59">
        <v>0.49</v>
      </c>
      <c r="G59" s="14">
        <f t="shared" si="2"/>
        <v>38.405797101449274</v>
      </c>
      <c r="H59">
        <f t="shared" si="3"/>
        <v>53</v>
      </c>
      <c r="I59" s="30">
        <v>0.47</v>
      </c>
      <c r="J59">
        <f t="shared" si="4"/>
        <v>1.47</v>
      </c>
      <c r="K59">
        <f t="shared" si="5"/>
        <v>0.16731733474817609</v>
      </c>
    </row>
    <row r="60" spans="2:11" x14ac:dyDescent="0.35">
      <c r="B60">
        <v>0.4</v>
      </c>
      <c r="G60" s="14">
        <f t="shared" si="2"/>
        <v>39.130434782608695</v>
      </c>
      <c r="H60">
        <f t="shared" si="3"/>
        <v>54</v>
      </c>
      <c r="I60" s="30">
        <v>0.48</v>
      </c>
      <c r="J60">
        <f t="shared" si="4"/>
        <v>1.48</v>
      </c>
      <c r="K60">
        <f t="shared" si="5"/>
        <v>0.17026171539495738</v>
      </c>
    </row>
    <row r="61" spans="2:11" x14ac:dyDescent="0.35">
      <c r="B61">
        <v>0.76</v>
      </c>
      <c r="G61" s="14">
        <f t="shared" si="2"/>
        <v>39.855072463768117</v>
      </c>
      <c r="H61">
        <f t="shared" si="3"/>
        <v>55</v>
      </c>
      <c r="I61" s="30">
        <v>0.48</v>
      </c>
      <c r="J61">
        <f t="shared" si="4"/>
        <v>1.48</v>
      </c>
      <c r="K61">
        <f t="shared" si="5"/>
        <v>0.17026171539495738</v>
      </c>
    </row>
    <row r="62" spans="2:11" x14ac:dyDescent="0.35">
      <c r="B62">
        <v>1.43</v>
      </c>
      <c r="G62" s="14">
        <f t="shared" si="2"/>
        <v>40.579710144927539</v>
      </c>
      <c r="H62">
        <f t="shared" si="3"/>
        <v>56</v>
      </c>
      <c r="I62" s="30">
        <v>0.48</v>
      </c>
      <c r="J62">
        <f t="shared" si="4"/>
        <v>1.48</v>
      </c>
      <c r="K62">
        <f t="shared" si="5"/>
        <v>0.17026171539495738</v>
      </c>
    </row>
    <row r="63" spans="2:11" x14ac:dyDescent="0.35">
      <c r="B63">
        <v>0.71</v>
      </c>
      <c r="G63" s="14">
        <f t="shared" si="2"/>
        <v>41.304347826086953</v>
      </c>
      <c r="H63">
        <f t="shared" si="3"/>
        <v>57</v>
      </c>
      <c r="I63" s="30">
        <v>0.49</v>
      </c>
      <c r="J63">
        <f t="shared" si="4"/>
        <v>1.49</v>
      </c>
      <c r="K63">
        <f t="shared" si="5"/>
        <v>0.17318626841227402</v>
      </c>
    </row>
    <row r="64" spans="2:11" x14ac:dyDescent="0.35">
      <c r="B64">
        <v>0.55000000000000004</v>
      </c>
      <c r="G64" s="14">
        <f t="shared" si="2"/>
        <v>42.028985507246375</v>
      </c>
      <c r="H64">
        <f t="shared" si="3"/>
        <v>58</v>
      </c>
      <c r="I64" s="30">
        <v>0.49</v>
      </c>
      <c r="J64">
        <f t="shared" si="4"/>
        <v>1.49</v>
      </c>
      <c r="K64">
        <f t="shared" si="5"/>
        <v>0.17318626841227402</v>
      </c>
    </row>
    <row r="65" spans="2:11" x14ac:dyDescent="0.35">
      <c r="B65">
        <v>0.52</v>
      </c>
      <c r="G65" s="14">
        <f t="shared" si="2"/>
        <v>42.753623188405797</v>
      </c>
      <c r="H65">
        <f t="shared" si="3"/>
        <v>59</v>
      </c>
      <c r="I65" s="30">
        <v>0.5</v>
      </c>
      <c r="J65">
        <f t="shared" si="4"/>
        <v>1.5</v>
      </c>
      <c r="K65">
        <f t="shared" si="5"/>
        <v>0.17609125905568124</v>
      </c>
    </row>
    <row r="66" spans="2:11" x14ac:dyDescent="0.35">
      <c r="B66">
        <v>0.5</v>
      </c>
      <c r="G66" s="14">
        <f t="shared" si="2"/>
        <v>43.478260869565219</v>
      </c>
      <c r="H66">
        <f t="shared" si="3"/>
        <v>60</v>
      </c>
      <c r="I66" s="30">
        <v>0.5</v>
      </c>
      <c r="J66">
        <f t="shared" si="4"/>
        <v>1.5</v>
      </c>
      <c r="K66">
        <f t="shared" si="5"/>
        <v>0.17609125905568124</v>
      </c>
    </row>
    <row r="67" spans="2:11" x14ac:dyDescent="0.35">
      <c r="B67">
        <v>1.49</v>
      </c>
      <c r="G67" s="14">
        <f t="shared" si="2"/>
        <v>44.20289855072464</v>
      </c>
      <c r="H67">
        <f t="shared" si="3"/>
        <v>61</v>
      </c>
      <c r="I67" s="30">
        <v>0.51</v>
      </c>
      <c r="J67">
        <f t="shared" si="4"/>
        <v>1.51</v>
      </c>
      <c r="K67">
        <f t="shared" si="5"/>
        <v>0.17897694729316943</v>
      </c>
    </row>
    <row r="68" spans="2:11" x14ac:dyDescent="0.35">
      <c r="B68">
        <v>0.48</v>
      </c>
      <c r="G68" s="14">
        <f t="shared" si="2"/>
        <v>44.927536231884055</v>
      </c>
      <c r="H68">
        <f t="shared" si="3"/>
        <v>62</v>
      </c>
      <c r="I68" s="30">
        <v>0.51</v>
      </c>
      <c r="J68">
        <f t="shared" si="4"/>
        <v>1.51</v>
      </c>
      <c r="K68">
        <f t="shared" si="5"/>
        <v>0.17897694729316943</v>
      </c>
    </row>
    <row r="69" spans="2:11" x14ac:dyDescent="0.35">
      <c r="B69">
        <v>0.47</v>
      </c>
      <c r="G69" s="14">
        <f t="shared" si="2"/>
        <v>45.652173913043477</v>
      </c>
      <c r="H69">
        <f t="shared" si="3"/>
        <v>63</v>
      </c>
      <c r="I69" s="30">
        <v>0.51</v>
      </c>
      <c r="J69">
        <f t="shared" si="4"/>
        <v>1.51</v>
      </c>
      <c r="K69">
        <f t="shared" si="5"/>
        <v>0.17897694729316943</v>
      </c>
    </row>
    <row r="70" spans="2:11" x14ac:dyDescent="0.35">
      <c r="B70">
        <v>0.6</v>
      </c>
      <c r="G70" s="14">
        <f t="shared" si="2"/>
        <v>46.376811594202898</v>
      </c>
      <c r="H70">
        <f t="shared" si="3"/>
        <v>64</v>
      </c>
      <c r="I70" s="30">
        <v>0.51</v>
      </c>
      <c r="J70">
        <f t="shared" si="4"/>
        <v>1.51</v>
      </c>
      <c r="K70">
        <f t="shared" si="5"/>
        <v>0.17897694729316943</v>
      </c>
    </row>
    <row r="71" spans="2:11" x14ac:dyDescent="0.35">
      <c r="B71">
        <v>0.26</v>
      </c>
      <c r="G71" s="14">
        <f t="shared" si="2"/>
        <v>47.10144927536232</v>
      </c>
      <c r="H71">
        <f t="shared" si="3"/>
        <v>65</v>
      </c>
      <c r="I71" s="30">
        <v>0.52</v>
      </c>
      <c r="J71">
        <f t="shared" ref="J71:J102" si="6">I71+1</f>
        <v>1.52</v>
      </c>
      <c r="K71">
        <f t="shared" ref="K71:K102" si="7">LOG10(J71)</f>
        <v>0.18184358794477254</v>
      </c>
    </row>
    <row r="72" spans="2:11" x14ac:dyDescent="0.35">
      <c r="B72">
        <v>0.4</v>
      </c>
      <c r="G72" s="14">
        <f t="shared" ref="G72:G135" si="8">H72*100/138</f>
        <v>47.826086956521742</v>
      </c>
      <c r="H72">
        <f t="shared" si="3"/>
        <v>66</v>
      </c>
      <c r="I72" s="30">
        <v>0.52</v>
      </c>
      <c r="J72">
        <f t="shared" si="6"/>
        <v>1.52</v>
      </c>
      <c r="K72">
        <f t="shared" si="7"/>
        <v>0.18184358794477254</v>
      </c>
    </row>
    <row r="73" spans="2:11" x14ac:dyDescent="0.35">
      <c r="B73">
        <v>1.92</v>
      </c>
      <c r="G73" s="14">
        <f t="shared" si="8"/>
        <v>48.550724637681157</v>
      </c>
      <c r="H73">
        <f t="shared" ref="H73:H136" si="9">H72+1</f>
        <v>67</v>
      </c>
      <c r="I73" s="30">
        <v>0.53</v>
      </c>
      <c r="J73">
        <f t="shared" si="6"/>
        <v>1.53</v>
      </c>
      <c r="K73">
        <f t="shared" si="7"/>
        <v>0.18469143081759881</v>
      </c>
    </row>
    <row r="74" spans="2:11" x14ac:dyDescent="0.35">
      <c r="B74">
        <v>2.19</v>
      </c>
      <c r="G74" s="14">
        <f t="shared" si="8"/>
        <v>49.275362318840578</v>
      </c>
      <c r="H74">
        <f t="shared" si="9"/>
        <v>68</v>
      </c>
      <c r="I74" s="30">
        <v>0.54</v>
      </c>
      <c r="J74">
        <f t="shared" si="6"/>
        <v>1.54</v>
      </c>
      <c r="K74">
        <f t="shared" si="7"/>
        <v>0.18752072083646307</v>
      </c>
    </row>
    <row r="75" spans="2:11" x14ac:dyDescent="0.35">
      <c r="B75">
        <v>2.73</v>
      </c>
      <c r="G75" s="14">
        <f t="shared" si="8"/>
        <v>50</v>
      </c>
      <c r="H75">
        <f t="shared" si="9"/>
        <v>69</v>
      </c>
      <c r="I75" s="30">
        <v>0.54</v>
      </c>
      <c r="J75">
        <f t="shared" si="6"/>
        <v>1.54</v>
      </c>
      <c r="K75">
        <f t="shared" si="7"/>
        <v>0.18752072083646307</v>
      </c>
    </row>
    <row r="76" spans="2:11" x14ac:dyDescent="0.35">
      <c r="B76">
        <v>2.16</v>
      </c>
      <c r="G76" s="14">
        <f t="shared" si="8"/>
        <v>50.724637681159422</v>
      </c>
      <c r="H76">
        <f t="shared" si="9"/>
        <v>70</v>
      </c>
      <c r="I76" s="30">
        <v>0.55000000000000004</v>
      </c>
      <c r="J76">
        <f t="shared" si="6"/>
        <v>1.55</v>
      </c>
      <c r="K76">
        <f t="shared" si="7"/>
        <v>0.1903316981702915</v>
      </c>
    </row>
    <row r="77" spans="2:11" x14ac:dyDescent="0.35">
      <c r="B77">
        <v>0.79</v>
      </c>
      <c r="G77" s="14">
        <f t="shared" si="8"/>
        <v>51.449275362318843</v>
      </c>
      <c r="H77">
        <f t="shared" si="9"/>
        <v>71</v>
      </c>
      <c r="I77" s="30">
        <v>0.55000000000000004</v>
      </c>
      <c r="J77">
        <f t="shared" si="6"/>
        <v>1.55</v>
      </c>
      <c r="K77">
        <f t="shared" si="7"/>
        <v>0.1903316981702915</v>
      </c>
    </row>
    <row r="78" spans="2:11" x14ac:dyDescent="0.35">
      <c r="B78">
        <v>0.75</v>
      </c>
      <c r="G78" s="14">
        <f t="shared" si="8"/>
        <v>52.173913043478258</v>
      </c>
      <c r="H78">
        <f t="shared" si="9"/>
        <v>72</v>
      </c>
      <c r="I78" s="30">
        <v>0.55000000000000004</v>
      </c>
      <c r="J78">
        <f t="shared" si="6"/>
        <v>1.55</v>
      </c>
      <c r="K78">
        <f t="shared" si="7"/>
        <v>0.1903316981702915</v>
      </c>
    </row>
    <row r="79" spans="2:11" x14ac:dyDescent="0.35">
      <c r="B79">
        <v>0.56999999999999995</v>
      </c>
      <c r="G79" s="14">
        <f t="shared" si="8"/>
        <v>52.89855072463768</v>
      </c>
      <c r="H79">
        <f t="shared" si="9"/>
        <v>73</v>
      </c>
      <c r="I79" s="30">
        <v>0.55000000000000004</v>
      </c>
      <c r="J79">
        <f t="shared" si="6"/>
        <v>1.55</v>
      </c>
      <c r="K79">
        <f t="shared" si="7"/>
        <v>0.1903316981702915</v>
      </c>
    </row>
    <row r="80" spans="2:11" x14ac:dyDescent="0.35">
      <c r="B80">
        <v>0.74</v>
      </c>
      <c r="G80" s="14">
        <f t="shared" si="8"/>
        <v>53.623188405797102</v>
      </c>
      <c r="H80">
        <f t="shared" si="9"/>
        <v>74</v>
      </c>
      <c r="I80" s="30">
        <v>0.55000000000000004</v>
      </c>
      <c r="J80">
        <f t="shared" si="6"/>
        <v>1.55</v>
      </c>
      <c r="K80">
        <f t="shared" si="7"/>
        <v>0.1903316981702915</v>
      </c>
    </row>
    <row r="81" spans="2:11" x14ac:dyDescent="0.35">
      <c r="B81">
        <v>1.24</v>
      </c>
      <c r="G81" s="14">
        <f t="shared" si="8"/>
        <v>54.347826086956523</v>
      </c>
      <c r="H81">
        <f t="shared" si="9"/>
        <v>75</v>
      </c>
      <c r="I81" s="30">
        <v>0.56000000000000005</v>
      </c>
      <c r="J81">
        <f t="shared" si="6"/>
        <v>1.56</v>
      </c>
      <c r="K81">
        <f t="shared" si="7"/>
        <v>0.19312459835446161</v>
      </c>
    </row>
    <row r="82" spans="2:11" x14ac:dyDescent="0.35">
      <c r="B82">
        <v>1.1399999999999999</v>
      </c>
      <c r="G82" s="14">
        <f t="shared" si="8"/>
        <v>55.072463768115945</v>
      </c>
      <c r="H82">
        <f t="shared" si="9"/>
        <v>76</v>
      </c>
      <c r="I82" s="30">
        <v>0.56000000000000005</v>
      </c>
      <c r="J82">
        <f t="shared" si="6"/>
        <v>1.56</v>
      </c>
      <c r="K82">
        <f t="shared" si="7"/>
        <v>0.19312459835446161</v>
      </c>
    </row>
    <row r="83" spans="2:11" x14ac:dyDescent="0.35">
      <c r="B83">
        <v>0.74</v>
      </c>
      <c r="G83" s="14">
        <f t="shared" si="8"/>
        <v>55.79710144927536</v>
      </c>
      <c r="H83">
        <f t="shared" si="9"/>
        <v>77</v>
      </c>
      <c r="I83" s="30">
        <v>0.56000000000000005</v>
      </c>
      <c r="J83">
        <f t="shared" si="6"/>
        <v>1.56</v>
      </c>
      <c r="K83">
        <f t="shared" si="7"/>
        <v>0.19312459835446161</v>
      </c>
    </row>
    <row r="84" spans="2:11" x14ac:dyDescent="0.35">
      <c r="B84">
        <v>2.1800000000000002</v>
      </c>
      <c r="G84" s="14">
        <f t="shared" si="8"/>
        <v>56.521739130434781</v>
      </c>
      <c r="H84">
        <f t="shared" si="9"/>
        <v>78</v>
      </c>
      <c r="I84" s="30">
        <v>0.56999999999999995</v>
      </c>
      <c r="J84">
        <f t="shared" si="6"/>
        <v>1.5699999999999998</v>
      </c>
      <c r="K84">
        <f t="shared" si="7"/>
        <v>0.19589965240923368</v>
      </c>
    </row>
    <row r="85" spans="2:11" x14ac:dyDescent="0.35">
      <c r="B85">
        <v>0.93</v>
      </c>
      <c r="G85" s="14">
        <f t="shared" si="8"/>
        <v>57.246376811594203</v>
      </c>
      <c r="H85">
        <f t="shared" si="9"/>
        <v>79</v>
      </c>
      <c r="I85" s="30">
        <v>0.56999999999999995</v>
      </c>
      <c r="J85">
        <f t="shared" si="6"/>
        <v>1.5699999999999998</v>
      </c>
      <c r="K85">
        <f t="shared" si="7"/>
        <v>0.19589965240923368</v>
      </c>
    </row>
    <row r="86" spans="2:11" x14ac:dyDescent="0.35">
      <c r="B86">
        <v>1.32</v>
      </c>
      <c r="G86" s="14">
        <f t="shared" si="8"/>
        <v>57.971014492753625</v>
      </c>
      <c r="H86">
        <f t="shared" si="9"/>
        <v>80</v>
      </c>
      <c r="I86" s="30">
        <v>0.56999999999999995</v>
      </c>
      <c r="J86">
        <f t="shared" si="6"/>
        <v>1.5699999999999998</v>
      </c>
      <c r="K86">
        <f t="shared" si="7"/>
        <v>0.19589965240923368</v>
      </c>
    </row>
    <row r="87" spans="2:11" x14ac:dyDescent="0.35">
      <c r="B87">
        <v>0.46</v>
      </c>
      <c r="G87" s="14">
        <f t="shared" si="8"/>
        <v>58.695652173913047</v>
      </c>
      <c r="H87">
        <f t="shared" si="9"/>
        <v>81</v>
      </c>
      <c r="I87" s="30">
        <v>0.56999999999999995</v>
      </c>
      <c r="J87">
        <f t="shared" si="6"/>
        <v>1.5699999999999998</v>
      </c>
      <c r="K87">
        <f t="shared" si="7"/>
        <v>0.19589965240923368</v>
      </c>
    </row>
    <row r="88" spans="2:11" x14ac:dyDescent="0.35">
      <c r="B88">
        <v>1.55</v>
      </c>
      <c r="G88" s="14">
        <f t="shared" si="8"/>
        <v>59.420289855072461</v>
      </c>
      <c r="H88">
        <f t="shared" si="9"/>
        <v>82</v>
      </c>
      <c r="I88" s="30">
        <v>0.56999999999999995</v>
      </c>
      <c r="J88">
        <f t="shared" si="6"/>
        <v>1.5699999999999998</v>
      </c>
      <c r="K88">
        <f t="shared" si="7"/>
        <v>0.19589965240923368</v>
      </c>
    </row>
    <row r="89" spans="2:11" x14ac:dyDescent="0.35">
      <c r="B89">
        <v>1.98</v>
      </c>
      <c r="G89" s="14">
        <f t="shared" si="8"/>
        <v>60.144927536231883</v>
      </c>
      <c r="H89">
        <f t="shared" si="9"/>
        <v>83</v>
      </c>
      <c r="I89" s="30">
        <v>0.57999999999999996</v>
      </c>
      <c r="J89">
        <f t="shared" si="6"/>
        <v>1.58</v>
      </c>
      <c r="K89">
        <f t="shared" si="7"/>
        <v>0.19865708695442263</v>
      </c>
    </row>
    <row r="90" spans="2:11" x14ac:dyDescent="0.35">
      <c r="B90">
        <v>1.81</v>
      </c>
      <c r="G90" s="14">
        <f t="shared" si="8"/>
        <v>60.869565217391305</v>
      </c>
      <c r="H90">
        <f t="shared" si="9"/>
        <v>84</v>
      </c>
      <c r="I90" s="30">
        <v>0.57999999999999996</v>
      </c>
      <c r="J90">
        <f t="shared" si="6"/>
        <v>1.58</v>
      </c>
      <c r="K90">
        <f t="shared" si="7"/>
        <v>0.19865708695442263</v>
      </c>
    </row>
    <row r="91" spans="2:11" x14ac:dyDescent="0.35">
      <c r="B91">
        <v>3.33</v>
      </c>
      <c r="G91" s="14">
        <f t="shared" si="8"/>
        <v>61.594202898550726</v>
      </c>
      <c r="H91">
        <f t="shared" si="9"/>
        <v>85</v>
      </c>
      <c r="I91" s="30">
        <v>0.57999999999999996</v>
      </c>
      <c r="J91">
        <f t="shared" si="6"/>
        <v>1.58</v>
      </c>
      <c r="K91">
        <f t="shared" si="7"/>
        <v>0.19865708695442263</v>
      </c>
    </row>
    <row r="92" spans="2:11" x14ac:dyDescent="0.35">
      <c r="B92">
        <v>0.49</v>
      </c>
      <c r="G92" s="14">
        <f t="shared" si="8"/>
        <v>62.318840579710148</v>
      </c>
      <c r="H92">
        <f t="shared" si="9"/>
        <v>86</v>
      </c>
      <c r="I92" s="30">
        <v>0.59</v>
      </c>
      <c r="J92">
        <f t="shared" si="6"/>
        <v>1.5899999999999999</v>
      </c>
      <c r="K92">
        <f t="shared" si="7"/>
        <v>0.20139712432045145</v>
      </c>
    </row>
    <row r="93" spans="2:11" x14ac:dyDescent="0.35">
      <c r="B93">
        <v>0.69</v>
      </c>
      <c r="G93" s="14">
        <f t="shared" si="8"/>
        <v>63.043478260869563</v>
      </c>
      <c r="H93">
        <f t="shared" si="9"/>
        <v>87</v>
      </c>
      <c r="I93" s="30">
        <v>0.6</v>
      </c>
      <c r="J93">
        <f t="shared" si="6"/>
        <v>1.6</v>
      </c>
      <c r="K93">
        <f t="shared" si="7"/>
        <v>0.20411998265592479</v>
      </c>
    </row>
    <row r="94" spans="2:11" x14ac:dyDescent="0.35">
      <c r="B94">
        <v>0.41</v>
      </c>
      <c r="G94" s="14">
        <f t="shared" si="8"/>
        <v>63.768115942028984</v>
      </c>
      <c r="H94">
        <f t="shared" si="9"/>
        <v>88</v>
      </c>
      <c r="I94" s="30">
        <v>0.6</v>
      </c>
      <c r="J94">
        <f t="shared" si="6"/>
        <v>1.6</v>
      </c>
      <c r="K94">
        <f t="shared" si="7"/>
        <v>0.20411998265592479</v>
      </c>
    </row>
    <row r="95" spans="2:11" x14ac:dyDescent="0.35">
      <c r="B95">
        <v>1.32</v>
      </c>
      <c r="G95" s="14">
        <f t="shared" si="8"/>
        <v>64.492753623188406</v>
      </c>
      <c r="H95">
        <f t="shared" si="9"/>
        <v>89</v>
      </c>
      <c r="I95" s="30">
        <v>0.6</v>
      </c>
      <c r="J95">
        <f t="shared" si="6"/>
        <v>1.6</v>
      </c>
      <c r="K95">
        <f t="shared" si="7"/>
        <v>0.20411998265592479</v>
      </c>
    </row>
    <row r="96" spans="2:11" x14ac:dyDescent="0.35">
      <c r="B96">
        <v>0.76</v>
      </c>
      <c r="G96" s="14">
        <f t="shared" si="8"/>
        <v>65.217391304347828</v>
      </c>
      <c r="H96">
        <f t="shared" si="9"/>
        <v>90</v>
      </c>
      <c r="I96" s="30">
        <v>0.62</v>
      </c>
      <c r="J96">
        <f t="shared" si="6"/>
        <v>1.62</v>
      </c>
      <c r="K96">
        <f t="shared" si="7"/>
        <v>0.20951501454263097</v>
      </c>
    </row>
    <row r="97" spans="2:11" x14ac:dyDescent="0.35">
      <c r="B97">
        <v>0.43</v>
      </c>
      <c r="G97" s="14">
        <f t="shared" si="8"/>
        <v>65.94202898550725</v>
      </c>
      <c r="H97">
        <f t="shared" si="9"/>
        <v>91</v>
      </c>
      <c r="I97" s="30">
        <v>0.62</v>
      </c>
      <c r="J97">
        <f t="shared" si="6"/>
        <v>1.62</v>
      </c>
      <c r="K97">
        <f t="shared" si="7"/>
        <v>0.20951501454263097</v>
      </c>
    </row>
    <row r="98" spans="2:11" x14ac:dyDescent="0.35">
      <c r="B98">
        <v>0.42</v>
      </c>
      <c r="G98" s="14">
        <f t="shared" si="8"/>
        <v>66.666666666666671</v>
      </c>
      <c r="H98">
        <f t="shared" si="9"/>
        <v>92</v>
      </c>
      <c r="I98" s="30">
        <v>0.63</v>
      </c>
      <c r="J98">
        <f t="shared" si="6"/>
        <v>1.63</v>
      </c>
      <c r="K98">
        <f t="shared" si="7"/>
        <v>0.21218760440395779</v>
      </c>
    </row>
    <row r="99" spans="2:11" x14ac:dyDescent="0.35">
      <c r="B99">
        <v>0.41</v>
      </c>
      <c r="G99" s="14">
        <f t="shared" si="8"/>
        <v>67.391304347826093</v>
      </c>
      <c r="H99">
        <f t="shared" si="9"/>
        <v>93</v>
      </c>
      <c r="I99" s="30">
        <v>0.64</v>
      </c>
      <c r="J99">
        <f t="shared" si="6"/>
        <v>1.6400000000000001</v>
      </c>
      <c r="K99">
        <f t="shared" si="7"/>
        <v>0.21484384804769791</v>
      </c>
    </row>
    <row r="100" spans="2:11" x14ac:dyDescent="0.35">
      <c r="B100">
        <v>1.43</v>
      </c>
      <c r="G100" s="14">
        <f t="shared" si="8"/>
        <v>68.115942028985501</v>
      </c>
      <c r="H100">
        <f t="shared" si="9"/>
        <v>94</v>
      </c>
      <c r="I100" s="30">
        <v>0.65</v>
      </c>
      <c r="J100">
        <f t="shared" si="6"/>
        <v>1.65</v>
      </c>
      <c r="K100">
        <f t="shared" si="7"/>
        <v>0.21748394421390627</v>
      </c>
    </row>
    <row r="101" spans="2:11" x14ac:dyDescent="0.35">
      <c r="B101">
        <v>1.24</v>
      </c>
      <c r="G101" s="14">
        <f t="shared" si="8"/>
        <v>68.840579710144922</v>
      </c>
      <c r="H101">
        <f t="shared" si="9"/>
        <v>95</v>
      </c>
      <c r="I101" s="30">
        <v>0.67</v>
      </c>
      <c r="J101">
        <f t="shared" si="6"/>
        <v>1.67</v>
      </c>
      <c r="K101">
        <f t="shared" si="7"/>
        <v>0.22271647114758325</v>
      </c>
    </row>
    <row r="102" spans="2:11" x14ac:dyDescent="0.35">
      <c r="B102">
        <v>0.96</v>
      </c>
      <c r="G102" s="14">
        <f t="shared" si="8"/>
        <v>69.565217391304344</v>
      </c>
      <c r="H102">
        <f t="shared" si="9"/>
        <v>96</v>
      </c>
      <c r="I102" s="30">
        <v>0.68</v>
      </c>
      <c r="J102">
        <f t="shared" si="6"/>
        <v>1.6800000000000002</v>
      </c>
      <c r="K102">
        <f t="shared" si="7"/>
        <v>0.2253092817258629</v>
      </c>
    </row>
    <row r="103" spans="2:11" x14ac:dyDescent="0.35">
      <c r="B103">
        <v>2.0499999999999998</v>
      </c>
      <c r="G103" s="14">
        <f t="shared" si="8"/>
        <v>70.289855072463766</v>
      </c>
      <c r="H103">
        <f t="shared" si="9"/>
        <v>97</v>
      </c>
      <c r="I103" s="30">
        <v>0.69</v>
      </c>
      <c r="J103">
        <f t="shared" ref="J103:J134" si="10">I103+1</f>
        <v>1.69</v>
      </c>
      <c r="K103">
        <f t="shared" ref="K103:K134" si="11">LOG10(J103)</f>
        <v>0.22788670461367352</v>
      </c>
    </row>
    <row r="104" spans="2:11" x14ac:dyDescent="0.35">
      <c r="B104">
        <v>0.39</v>
      </c>
      <c r="G104" s="14">
        <f t="shared" si="8"/>
        <v>71.014492753623188</v>
      </c>
      <c r="H104">
        <f t="shared" si="9"/>
        <v>98</v>
      </c>
      <c r="I104" s="30">
        <v>0.69</v>
      </c>
      <c r="J104">
        <f t="shared" si="10"/>
        <v>1.69</v>
      </c>
      <c r="K104">
        <f t="shared" si="11"/>
        <v>0.22788670461367352</v>
      </c>
    </row>
    <row r="105" spans="2:11" x14ac:dyDescent="0.35">
      <c r="B105">
        <v>0.44</v>
      </c>
      <c r="G105" s="14">
        <f t="shared" si="8"/>
        <v>71.739130434782609</v>
      </c>
      <c r="H105">
        <f t="shared" si="9"/>
        <v>99</v>
      </c>
      <c r="I105" s="30">
        <v>0.69</v>
      </c>
      <c r="J105">
        <f t="shared" si="10"/>
        <v>1.69</v>
      </c>
      <c r="K105">
        <f t="shared" si="11"/>
        <v>0.22788670461367352</v>
      </c>
    </row>
    <row r="106" spans="2:11" x14ac:dyDescent="0.35">
      <c r="B106">
        <v>0.47</v>
      </c>
      <c r="G106" s="14">
        <f t="shared" si="8"/>
        <v>72.463768115942031</v>
      </c>
      <c r="H106">
        <f t="shared" si="9"/>
        <v>100</v>
      </c>
      <c r="I106" s="30">
        <v>0.7</v>
      </c>
      <c r="J106">
        <f t="shared" si="10"/>
        <v>1.7</v>
      </c>
      <c r="K106">
        <f t="shared" si="11"/>
        <v>0.23044892137827391</v>
      </c>
    </row>
    <row r="107" spans="2:11" x14ac:dyDescent="0.35">
      <c r="B107">
        <v>0.38</v>
      </c>
      <c r="G107" s="14">
        <f t="shared" si="8"/>
        <v>73.188405797101453</v>
      </c>
      <c r="H107">
        <f t="shared" si="9"/>
        <v>101</v>
      </c>
      <c r="I107" s="30">
        <v>0.71</v>
      </c>
      <c r="J107">
        <f t="shared" si="10"/>
        <v>1.71</v>
      </c>
      <c r="K107">
        <f t="shared" si="11"/>
        <v>0.23299611039215382</v>
      </c>
    </row>
    <row r="108" spans="2:11" x14ac:dyDescent="0.35">
      <c r="B108">
        <v>0.38</v>
      </c>
      <c r="G108" s="14">
        <f t="shared" si="8"/>
        <v>73.913043478260875</v>
      </c>
      <c r="H108">
        <f t="shared" si="9"/>
        <v>102</v>
      </c>
      <c r="I108" s="30">
        <v>0.74</v>
      </c>
      <c r="J108">
        <f t="shared" si="10"/>
        <v>1.74</v>
      </c>
      <c r="K108">
        <f t="shared" si="11"/>
        <v>0.24054924828259971</v>
      </c>
    </row>
    <row r="109" spans="2:11" x14ac:dyDescent="0.35">
      <c r="B109">
        <v>1.18</v>
      </c>
      <c r="G109" s="14">
        <f t="shared" si="8"/>
        <v>74.637681159420296</v>
      </c>
      <c r="H109">
        <f t="shared" si="9"/>
        <v>103</v>
      </c>
      <c r="I109" s="30">
        <v>0.74</v>
      </c>
      <c r="J109">
        <f t="shared" si="10"/>
        <v>1.74</v>
      </c>
      <c r="K109">
        <f t="shared" si="11"/>
        <v>0.24054924828259971</v>
      </c>
    </row>
    <row r="110" spans="2:11" x14ac:dyDescent="0.35">
      <c r="B110">
        <v>1.53</v>
      </c>
      <c r="G110" s="14">
        <f t="shared" si="8"/>
        <v>75.362318840579704</v>
      </c>
      <c r="H110">
        <f t="shared" si="9"/>
        <v>104</v>
      </c>
      <c r="I110" s="30">
        <v>0.75</v>
      </c>
      <c r="J110">
        <f t="shared" si="10"/>
        <v>1.75</v>
      </c>
      <c r="K110">
        <f t="shared" si="11"/>
        <v>0.24303804868629444</v>
      </c>
    </row>
    <row r="111" spans="2:11" x14ac:dyDescent="0.35">
      <c r="B111">
        <v>1.69</v>
      </c>
      <c r="G111" s="14">
        <f t="shared" si="8"/>
        <v>76.086956521739125</v>
      </c>
      <c r="H111">
        <f t="shared" si="9"/>
        <v>105</v>
      </c>
      <c r="I111" s="30">
        <v>0.76</v>
      </c>
      <c r="J111">
        <f t="shared" si="10"/>
        <v>1.76</v>
      </c>
      <c r="K111">
        <f t="shared" si="11"/>
        <v>0.24551266781414982</v>
      </c>
    </row>
    <row r="112" spans="2:11" x14ac:dyDescent="0.35">
      <c r="B112">
        <v>0.38</v>
      </c>
      <c r="G112" s="14">
        <f t="shared" si="8"/>
        <v>76.811594202898547</v>
      </c>
      <c r="H112">
        <f t="shared" si="9"/>
        <v>106</v>
      </c>
      <c r="I112" s="30">
        <v>0.76</v>
      </c>
      <c r="J112">
        <f t="shared" si="10"/>
        <v>1.76</v>
      </c>
      <c r="K112">
        <f t="shared" si="11"/>
        <v>0.24551266781414982</v>
      </c>
    </row>
    <row r="113" spans="2:14" x14ac:dyDescent="0.35">
      <c r="B113">
        <v>0.4</v>
      </c>
      <c r="G113" s="14">
        <f t="shared" si="8"/>
        <v>77.536231884057969</v>
      </c>
      <c r="H113">
        <f t="shared" si="9"/>
        <v>107</v>
      </c>
      <c r="I113" s="30">
        <v>0.79</v>
      </c>
      <c r="J113">
        <f t="shared" si="10"/>
        <v>1.79</v>
      </c>
      <c r="K113">
        <f t="shared" si="11"/>
        <v>0.2528530309798932</v>
      </c>
    </row>
    <row r="114" spans="2:14" x14ac:dyDescent="0.35">
      <c r="B114">
        <v>1.95</v>
      </c>
      <c r="G114" s="14">
        <f t="shared" si="8"/>
        <v>78.260869565217391</v>
      </c>
      <c r="H114">
        <f t="shared" si="9"/>
        <v>108</v>
      </c>
      <c r="I114" s="30">
        <v>0.79</v>
      </c>
      <c r="J114">
        <f t="shared" si="10"/>
        <v>1.79</v>
      </c>
      <c r="K114">
        <f t="shared" si="11"/>
        <v>0.2528530309798932</v>
      </c>
    </row>
    <row r="115" spans="2:14" x14ac:dyDescent="0.35">
      <c r="B115">
        <v>0.4</v>
      </c>
      <c r="G115" s="14">
        <f t="shared" si="8"/>
        <v>78.985507246376812</v>
      </c>
      <c r="H115">
        <f t="shared" si="9"/>
        <v>109</v>
      </c>
      <c r="I115" s="33">
        <v>0.8</v>
      </c>
      <c r="J115">
        <f t="shared" si="10"/>
        <v>1.8</v>
      </c>
      <c r="K115">
        <f t="shared" si="11"/>
        <v>0.25527250510330607</v>
      </c>
    </row>
    <row r="116" spans="2:14" x14ac:dyDescent="0.35">
      <c r="B116">
        <v>0.4</v>
      </c>
      <c r="G116" s="14">
        <f t="shared" si="8"/>
        <v>79.710144927536234</v>
      </c>
      <c r="H116">
        <f t="shared" si="9"/>
        <v>110</v>
      </c>
      <c r="I116" s="33">
        <v>0.81</v>
      </c>
      <c r="J116">
        <f t="shared" si="10"/>
        <v>1.81</v>
      </c>
      <c r="K116">
        <f t="shared" si="11"/>
        <v>0.2576785748691845</v>
      </c>
    </row>
    <row r="117" spans="2:14" x14ac:dyDescent="0.35">
      <c r="B117">
        <v>0.39</v>
      </c>
      <c r="G117" s="14">
        <f t="shared" si="8"/>
        <v>80.434782608695656</v>
      </c>
      <c r="H117">
        <f t="shared" si="9"/>
        <v>111</v>
      </c>
      <c r="I117" s="32">
        <v>0.93</v>
      </c>
      <c r="J117">
        <f t="shared" si="10"/>
        <v>1.9300000000000002</v>
      </c>
      <c r="K117">
        <f t="shared" si="11"/>
        <v>0.28555730900777382</v>
      </c>
    </row>
    <row r="118" spans="2:14" x14ac:dyDescent="0.35">
      <c r="B118">
        <v>0.4</v>
      </c>
      <c r="G118" s="14">
        <f t="shared" si="8"/>
        <v>81.159420289855078</v>
      </c>
      <c r="H118">
        <f t="shared" si="9"/>
        <v>112</v>
      </c>
      <c r="I118" s="32">
        <v>0.96</v>
      </c>
      <c r="J118">
        <f t="shared" si="10"/>
        <v>1.96</v>
      </c>
      <c r="K118">
        <f t="shared" si="11"/>
        <v>0.29225607135647602</v>
      </c>
    </row>
    <row r="119" spans="2:14" x14ac:dyDescent="0.35">
      <c r="B119">
        <v>0.79</v>
      </c>
      <c r="G119" s="14">
        <f t="shared" si="8"/>
        <v>81.884057971014499</v>
      </c>
      <c r="H119">
        <f t="shared" si="9"/>
        <v>113</v>
      </c>
      <c r="I119" s="32">
        <v>1.1399999999999999</v>
      </c>
      <c r="J119">
        <f t="shared" si="10"/>
        <v>2.1399999999999997</v>
      </c>
      <c r="K119">
        <f t="shared" si="11"/>
        <v>0.33041377334919075</v>
      </c>
    </row>
    <row r="120" spans="2:14" x14ac:dyDescent="0.35">
      <c r="B120">
        <v>1.63</v>
      </c>
      <c r="G120" s="14">
        <f t="shared" si="8"/>
        <v>82.608695652173907</v>
      </c>
      <c r="H120">
        <f t="shared" si="9"/>
        <v>114</v>
      </c>
      <c r="I120" s="32">
        <v>1.18</v>
      </c>
      <c r="J120">
        <f t="shared" si="10"/>
        <v>2.1799999999999997</v>
      </c>
      <c r="K120">
        <f t="shared" si="11"/>
        <v>0.33845649360460478</v>
      </c>
      <c r="N120" s="15" t="s">
        <v>94</v>
      </c>
    </row>
    <row r="121" spans="2:14" x14ac:dyDescent="0.35">
      <c r="B121">
        <v>0.67</v>
      </c>
      <c r="G121" s="14">
        <f t="shared" si="8"/>
        <v>83.333333333333329</v>
      </c>
      <c r="H121">
        <f t="shared" si="9"/>
        <v>115</v>
      </c>
      <c r="I121" s="32">
        <v>1.24</v>
      </c>
      <c r="J121">
        <f t="shared" si="10"/>
        <v>2.2400000000000002</v>
      </c>
      <c r="K121">
        <f t="shared" si="11"/>
        <v>0.35024801833416286</v>
      </c>
    </row>
    <row r="122" spans="2:14" x14ac:dyDescent="0.35">
      <c r="B122">
        <v>0.65</v>
      </c>
      <c r="G122" s="14">
        <f t="shared" si="8"/>
        <v>84.05797101449275</v>
      </c>
      <c r="H122">
        <f t="shared" si="9"/>
        <v>116</v>
      </c>
      <c r="I122" s="32">
        <v>1.24</v>
      </c>
      <c r="J122">
        <f t="shared" si="10"/>
        <v>2.2400000000000002</v>
      </c>
      <c r="K122">
        <f t="shared" si="11"/>
        <v>0.35024801833416286</v>
      </c>
    </row>
    <row r="123" spans="2:14" x14ac:dyDescent="0.35">
      <c r="B123">
        <v>0.56999999999999995</v>
      </c>
      <c r="G123" s="14">
        <f t="shared" si="8"/>
        <v>84.782608695652172</v>
      </c>
      <c r="H123">
        <f t="shared" si="9"/>
        <v>117</v>
      </c>
      <c r="I123" s="32">
        <v>1.32</v>
      </c>
      <c r="J123">
        <f t="shared" si="10"/>
        <v>2.3200000000000003</v>
      </c>
      <c r="K123">
        <f t="shared" si="11"/>
        <v>0.36548798489089973</v>
      </c>
    </row>
    <row r="124" spans="2:14" x14ac:dyDescent="0.35">
      <c r="B124">
        <v>0.5</v>
      </c>
      <c r="G124" s="14">
        <f t="shared" si="8"/>
        <v>85.507246376811594</v>
      </c>
      <c r="H124">
        <f t="shared" si="9"/>
        <v>118</v>
      </c>
      <c r="I124" s="32">
        <v>1.32</v>
      </c>
      <c r="J124">
        <f t="shared" si="10"/>
        <v>2.3200000000000003</v>
      </c>
      <c r="K124">
        <f t="shared" si="11"/>
        <v>0.36548798489089973</v>
      </c>
    </row>
    <row r="125" spans="2:14" x14ac:dyDescent="0.35">
      <c r="B125">
        <v>1.36</v>
      </c>
      <c r="G125" s="14">
        <f t="shared" si="8"/>
        <v>86.231884057971016</v>
      </c>
      <c r="H125">
        <f t="shared" si="9"/>
        <v>119</v>
      </c>
      <c r="I125" s="32">
        <v>1.36</v>
      </c>
      <c r="J125">
        <f t="shared" si="10"/>
        <v>2.3600000000000003</v>
      </c>
      <c r="K125">
        <f t="shared" si="11"/>
        <v>0.37291200297010663</v>
      </c>
    </row>
    <row r="126" spans="2:14" x14ac:dyDescent="0.35">
      <c r="B126">
        <v>1.55</v>
      </c>
      <c r="G126" s="14">
        <f t="shared" si="8"/>
        <v>86.956521739130437</v>
      </c>
      <c r="H126">
        <f t="shared" si="9"/>
        <v>120</v>
      </c>
      <c r="I126" s="32">
        <v>1.43</v>
      </c>
      <c r="J126">
        <f t="shared" si="10"/>
        <v>2.4299999999999997</v>
      </c>
      <c r="K126">
        <f t="shared" si="11"/>
        <v>0.38560627359831212</v>
      </c>
    </row>
    <row r="127" spans="2:14" x14ac:dyDescent="0.35">
      <c r="B127">
        <v>0.69</v>
      </c>
      <c r="G127" s="14">
        <f t="shared" si="8"/>
        <v>87.681159420289859</v>
      </c>
      <c r="H127">
        <f t="shared" si="9"/>
        <v>121</v>
      </c>
      <c r="I127" s="32">
        <v>1.43</v>
      </c>
      <c r="J127">
        <f t="shared" si="10"/>
        <v>2.4299999999999997</v>
      </c>
      <c r="K127">
        <f t="shared" si="11"/>
        <v>0.38560627359831212</v>
      </c>
    </row>
    <row r="128" spans="2:14" x14ac:dyDescent="0.35">
      <c r="B128">
        <v>0.56000000000000005</v>
      </c>
      <c r="G128" s="14">
        <f t="shared" si="8"/>
        <v>88.405797101449281</v>
      </c>
      <c r="H128">
        <f t="shared" si="9"/>
        <v>122</v>
      </c>
      <c r="I128" s="32">
        <v>1.49</v>
      </c>
      <c r="J128">
        <f t="shared" si="10"/>
        <v>2.4900000000000002</v>
      </c>
      <c r="K128">
        <f t="shared" si="11"/>
        <v>0.3961993470957364</v>
      </c>
    </row>
    <row r="129" spans="2:11" x14ac:dyDescent="0.35">
      <c r="B129">
        <v>0.69</v>
      </c>
      <c r="G129" s="14">
        <f t="shared" si="8"/>
        <v>89.130434782608702</v>
      </c>
      <c r="H129">
        <f t="shared" si="9"/>
        <v>123</v>
      </c>
      <c r="I129" s="32">
        <v>1.53</v>
      </c>
      <c r="J129">
        <f t="shared" si="10"/>
        <v>2.5300000000000002</v>
      </c>
      <c r="K129">
        <f t="shared" si="11"/>
        <v>0.40312052117581798</v>
      </c>
    </row>
    <row r="130" spans="2:11" x14ac:dyDescent="0.35">
      <c r="B130">
        <v>0.8</v>
      </c>
      <c r="G130" s="14">
        <f t="shared" si="8"/>
        <v>89.85507246376811</v>
      </c>
      <c r="H130">
        <f t="shared" si="9"/>
        <v>124</v>
      </c>
      <c r="I130" s="32">
        <v>1.55</v>
      </c>
      <c r="J130">
        <f t="shared" si="10"/>
        <v>2.5499999999999998</v>
      </c>
      <c r="K130">
        <f t="shared" si="11"/>
        <v>0.40654018043395512</v>
      </c>
    </row>
    <row r="131" spans="2:11" x14ac:dyDescent="0.35">
      <c r="B131">
        <v>2.29</v>
      </c>
      <c r="G131" s="14">
        <f t="shared" si="8"/>
        <v>90.579710144927532</v>
      </c>
      <c r="H131">
        <f t="shared" si="9"/>
        <v>125</v>
      </c>
      <c r="I131" s="32">
        <v>1.55</v>
      </c>
      <c r="J131">
        <f t="shared" si="10"/>
        <v>2.5499999999999998</v>
      </c>
      <c r="K131">
        <f t="shared" si="11"/>
        <v>0.40654018043395512</v>
      </c>
    </row>
    <row r="132" spans="2:11" x14ac:dyDescent="0.35">
      <c r="B132">
        <v>0.59</v>
      </c>
      <c r="G132" s="14">
        <f t="shared" si="8"/>
        <v>91.304347826086953</v>
      </c>
      <c r="H132">
        <f t="shared" si="9"/>
        <v>126</v>
      </c>
      <c r="I132" s="32">
        <v>1.63</v>
      </c>
      <c r="J132">
        <f t="shared" si="10"/>
        <v>2.63</v>
      </c>
      <c r="K132">
        <f t="shared" si="11"/>
        <v>0.41995574848975786</v>
      </c>
    </row>
    <row r="133" spans="2:11" x14ac:dyDescent="0.35">
      <c r="B133">
        <v>0.7</v>
      </c>
      <c r="G133" s="14">
        <f t="shared" si="8"/>
        <v>92.028985507246375</v>
      </c>
      <c r="H133">
        <f t="shared" si="9"/>
        <v>127</v>
      </c>
      <c r="I133" s="32">
        <v>1.69</v>
      </c>
      <c r="J133">
        <f t="shared" si="10"/>
        <v>2.69</v>
      </c>
      <c r="K133">
        <f t="shared" si="11"/>
        <v>0.42975228000240795</v>
      </c>
    </row>
    <row r="134" spans="2:11" x14ac:dyDescent="0.35">
      <c r="B134">
        <v>0.4</v>
      </c>
      <c r="G134" s="14">
        <f t="shared" si="8"/>
        <v>92.753623188405797</v>
      </c>
      <c r="H134">
        <f t="shared" si="9"/>
        <v>128</v>
      </c>
      <c r="I134" s="32">
        <v>1.81</v>
      </c>
      <c r="J134">
        <f t="shared" si="10"/>
        <v>2.81</v>
      </c>
      <c r="K134">
        <f t="shared" si="11"/>
        <v>0.44870631990507992</v>
      </c>
    </row>
    <row r="135" spans="2:11" x14ac:dyDescent="0.35">
      <c r="B135">
        <v>0.41</v>
      </c>
      <c r="G135" s="14">
        <f t="shared" si="8"/>
        <v>93.478260869565219</v>
      </c>
      <c r="H135">
        <f t="shared" si="9"/>
        <v>129</v>
      </c>
      <c r="I135" s="32">
        <v>1.92</v>
      </c>
      <c r="J135">
        <f t="shared" ref="J135:J144" si="12">I135+1</f>
        <v>2.92</v>
      </c>
      <c r="K135">
        <f t="shared" ref="K135:K144" si="13">LOG10(J135)</f>
        <v>0.46538285144841829</v>
      </c>
    </row>
    <row r="136" spans="2:11" x14ac:dyDescent="0.35">
      <c r="B136">
        <v>0.47</v>
      </c>
      <c r="G136" s="14">
        <f t="shared" ref="G136:G144" si="14">H136*100/138</f>
        <v>94.20289855072464</v>
      </c>
      <c r="H136">
        <f t="shared" si="9"/>
        <v>130</v>
      </c>
      <c r="I136" s="32">
        <v>1.95</v>
      </c>
      <c r="J136">
        <f t="shared" si="12"/>
        <v>2.95</v>
      </c>
      <c r="K136">
        <f t="shared" si="13"/>
        <v>0.46982201597816303</v>
      </c>
    </row>
    <row r="137" spans="2:11" x14ac:dyDescent="0.35">
      <c r="B137">
        <v>0.42</v>
      </c>
      <c r="G137" s="14">
        <f t="shared" si="14"/>
        <v>94.927536231884062</v>
      </c>
      <c r="H137">
        <f t="shared" ref="H137:H144" si="15">H136+1</f>
        <v>131</v>
      </c>
      <c r="I137" s="32">
        <v>1.98</v>
      </c>
      <c r="J137">
        <f t="shared" si="12"/>
        <v>2.98</v>
      </c>
      <c r="K137">
        <f t="shared" si="13"/>
        <v>0.47421626407625522</v>
      </c>
    </row>
    <row r="138" spans="2:11" x14ac:dyDescent="0.35">
      <c r="B138">
        <v>0.37</v>
      </c>
      <c r="G138" s="14">
        <f t="shared" si="14"/>
        <v>95.652173913043484</v>
      </c>
      <c r="H138">
        <f t="shared" si="15"/>
        <v>132</v>
      </c>
      <c r="I138" s="32">
        <v>2.0499999999999998</v>
      </c>
      <c r="J138">
        <f t="shared" si="12"/>
        <v>3.05</v>
      </c>
      <c r="K138">
        <f t="shared" si="13"/>
        <v>0.48429983934678583</v>
      </c>
    </row>
    <row r="139" spans="2:11" x14ac:dyDescent="0.35">
      <c r="B139">
        <v>0.31</v>
      </c>
      <c r="G139" s="14">
        <f t="shared" si="14"/>
        <v>96.376811594202906</v>
      </c>
      <c r="H139">
        <f t="shared" si="15"/>
        <v>133</v>
      </c>
      <c r="I139" s="32">
        <v>2.16</v>
      </c>
      <c r="J139">
        <f t="shared" si="12"/>
        <v>3.16</v>
      </c>
      <c r="K139">
        <f t="shared" si="13"/>
        <v>0.49968708261840383</v>
      </c>
    </row>
    <row r="140" spans="2:11" x14ac:dyDescent="0.35">
      <c r="B140">
        <v>0.36</v>
      </c>
      <c r="G140" s="14">
        <f t="shared" si="14"/>
        <v>97.101449275362313</v>
      </c>
      <c r="H140">
        <f t="shared" si="15"/>
        <v>134</v>
      </c>
      <c r="I140" s="32">
        <v>2.1800000000000002</v>
      </c>
      <c r="J140">
        <f t="shared" si="12"/>
        <v>3.18</v>
      </c>
      <c r="K140">
        <f t="shared" si="13"/>
        <v>0.50242711998443268</v>
      </c>
    </row>
    <row r="141" spans="2:11" x14ac:dyDescent="0.35">
      <c r="B141">
        <v>0.81</v>
      </c>
      <c r="G141" s="14">
        <f t="shared" si="14"/>
        <v>97.826086956521735</v>
      </c>
      <c r="H141">
        <f t="shared" si="15"/>
        <v>135</v>
      </c>
      <c r="I141" s="32">
        <v>2.19</v>
      </c>
      <c r="J141">
        <f t="shared" si="12"/>
        <v>3.19</v>
      </c>
      <c r="K141">
        <f t="shared" si="13"/>
        <v>0.50379068305718111</v>
      </c>
    </row>
    <row r="142" spans="2:11" x14ac:dyDescent="0.35">
      <c r="B142">
        <v>0.47</v>
      </c>
      <c r="G142" s="14">
        <f t="shared" si="14"/>
        <v>98.550724637681157</v>
      </c>
      <c r="H142">
        <f t="shared" si="15"/>
        <v>136</v>
      </c>
      <c r="I142" s="32">
        <v>2.29</v>
      </c>
      <c r="J142">
        <f t="shared" si="12"/>
        <v>3.29</v>
      </c>
      <c r="K142">
        <f t="shared" si="13"/>
        <v>0.51719589794997434</v>
      </c>
    </row>
    <row r="143" spans="2:11" x14ac:dyDescent="0.35">
      <c r="B143">
        <v>0.34</v>
      </c>
      <c r="G143" s="14">
        <f t="shared" si="14"/>
        <v>99.275362318840578</v>
      </c>
      <c r="H143">
        <f t="shared" si="15"/>
        <v>137</v>
      </c>
      <c r="I143" s="32">
        <v>2.73</v>
      </c>
      <c r="J143">
        <f t="shared" si="12"/>
        <v>3.73</v>
      </c>
      <c r="K143">
        <f t="shared" si="13"/>
        <v>0.57170883180868759</v>
      </c>
    </row>
    <row r="144" spans="2:11" x14ac:dyDescent="0.35">
      <c r="B144">
        <v>0.44</v>
      </c>
      <c r="G144" s="14">
        <f t="shared" si="14"/>
        <v>100</v>
      </c>
      <c r="H144">
        <f t="shared" si="15"/>
        <v>138</v>
      </c>
      <c r="I144" s="32">
        <v>3.33</v>
      </c>
      <c r="J144">
        <f t="shared" si="12"/>
        <v>4.33</v>
      </c>
      <c r="K144">
        <f t="shared" si="13"/>
        <v>0.63648789635336545</v>
      </c>
    </row>
    <row r="146" spans="2:2" ht="15" x14ac:dyDescent="0.4">
      <c r="B146" s="6">
        <f>SUM(B7:B144)/138</f>
        <v>0.75231884057971021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workbookViewId="0">
      <selection activeCell="F6" sqref="F6"/>
    </sheetView>
  </sheetViews>
  <sheetFormatPr defaultRowHeight="12.75" x14ac:dyDescent="0.35"/>
  <cols>
    <col min="1" max="1" width="13.19921875" customWidth="1"/>
    <col min="5" max="5" width="11.53125" customWidth="1"/>
    <col min="6" max="6" width="16.19921875" customWidth="1"/>
  </cols>
  <sheetData>
    <row r="1" spans="1:18" x14ac:dyDescent="0.35">
      <c r="A1" t="s">
        <v>0</v>
      </c>
    </row>
    <row r="2" spans="1:18" x14ac:dyDescent="0.35">
      <c r="A2" t="s">
        <v>91</v>
      </c>
    </row>
    <row r="3" spans="1:18" x14ac:dyDescent="0.35">
      <c r="A3" t="s">
        <v>4</v>
      </c>
      <c r="B3" s="3" t="s">
        <v>38</v>
      </c>
      <c r="C3" s="3" t="s">
        <v>39</v>
      </c>
      <c r="D3" s="3" t="s">
        <v>80</v>
      </c>
      <c r="E3" s="3" t="s">
        <v>88</v>
      </c>
      <c r="F3" s="3" t="s">
        <v>88</v>
      </c>
      <c r="G3" s="3" t="s">
        <v>90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35">
      <c r="A4" t="s">
        <v>2</v>
      </c>
      <c r="B4">
        <v>421343</v>
      </c>
      <c r="C4">
        <v>421616</v>
      </c>
      <c r="D4">
        <v>427171</v>
      </c>
      <c r="E4">
        <v>429089</v>
      </c>
      <c r="F4">
        <v>428904</v>
      </c>
      <c r="G4">
        <v>398095</v>
      </c>
    </row>
    <row r="5" spans="1:18" x14ac:dyDescent="0.35">
      <c r="A5" t="s">
        <v>1</v>
      </c>
      <c r="B5">
        <v>5449106</v>
      </c>
      <c r="C5">
        <v>5448926</v>
      </c>
      <c r="D5">
        <v>5445598</v>
      </c>
      <c r="E5">
        <v>5445087</v>
      </c>
      <c r="F5">
        <v>5445208</v>
      </c>
      <c r="G5">
        <v>5458441</v>
      </c>
    </row>
    <row r="6" spans="1:18" x14ac:dyDescent="0.35">
      <c r="B6" s="18" t="s">
        <v>36</v>
      </c>
      <c r="C6" s="18" t="s">
        <v>36</v>
      </c>
      <c r="E6" t="s">
        <v>100</v>
      </c>
      <c r="F6" t="s">
        <v>87</v>
      </c>
      <c r="G6" s="18" t="s">
        <v>126</v>
      </c>
    </row>
    <row r="7" spans="1:18" x14ac:dyDescent="0.35">
      <c r="B7">
        <v>0.3</v>
      </c>
      <c r="C7">
        <v>0.08</v>
      </c>
      <c r="D7">
        <v>0.13</v>
      </c>
      <c r="E7">
        <v>0.15</v>
      </c>
      <c r="F7">
        <v>0.14000000000000001</v>
      </c>
      <c r="G7">
        <v>7.0000000000000007E-2</v>
      </c>
    </row>
    <row r="8" spans="1:18" x14ac:dyDescent="0.35">
      <c r="B8">
        <v>0.22</v>
      </c>
      <c r="C8">
        <v>0.2</v>
      </c>
      <c r="D8">
        <v>0.11</v>
      </c>
      <c r="E8">
        <v>0.19</v>
      </c>
      <c r="F8">
        <v>0.12</v>
      </c>
      <c r="G8">
        <v>0.06</v>
      </c>
    </row>
    <row r="9" spans="1:18" x14ac:dyDescent="0.35">
      <c r="B9">
        <v>0.17</v>
      </c>
      <c r="C9">
        <v>0.2</v>
      </c>
      <c r="D9">
        <v>0.11</v>
      </c>
      <c r="E9">
        <v>0.1</v>
      </c>
      <c r="F9">
        <v>0.05</v>
      </c>
      <c r="G9">
        <v>0.09</v>
      </c>
    </row>
    <row r="10" spans="1:18" x14ac:dyDescent="0.35">
      <c r="B10">
        <v>0.3</v>
      </c>
      <c r="C10">
        <v>0.11</v>
      </c>
      <c r="D10">
        <v>0.11</v>
      </c>
      <c r="E10">
        <v>0.14000000000000001</v>
      </c>
      <c r="F10">
        <v>0.04</v>
      </c>
      <c r="G10">
        <v>0.11</v>
      </c>
    </row>
    <row r="11" spans="1:18" x14ac:dyDescent="0.35">
      <c r="B11">
        <v>0.32</v>
      </c>
      <c r="C11">
        <v>0.13</v>
      </c>
      <c r="D11">
        <v>0.13</v>
      </c>
      <c r="E11">
        <v>0.11</v>
      </c>
      <c r="F11">
        <v>0.06</v>
      </c>
      <c r="G11">
        <v>0.11</v>
      </c>
    </row>
    <row r="12" spans="1:18" x14ac:dyDescent="0.35">
      <c r="B12">
        <v>0.34</v>
      </c>
      <c r="C12">
        <v>0.06</v>
      </c>
      <c r="D12">
        <v>7.0000000000000007E-2</v>
      </c>
      <c r="E12">
        <v>0.08</v>
      </c>
      <c r="F12">
        <v>0.16</v>
      </c>
      <c r="G12">
        <v>0.05</v>
      </c>
    </row>
    <row r="13" spans="1:18" x14ac:dyDescent="0.35">
      <c r="B13">
        <v>0.26</v>
      </c>
      <c r="C13">
        <v>0.13</v>
      </c>
      <c r="D13">
        <v>0.13</v>
      </c>
      <c r="E13">
        <v>0.23</v>
      </c>
      <c r="F13">
        <v>0.21</v>
      </c>
      <c r="G13">
        <v>0.13</v>
      </c>
    </row>
    <row r="14" spans="1:18" x14ac:dyDescent="0.35">
      <c r="B14">
        <v>0.31</v>
      </c>
      <c r="C14">
        <v>0.12</v>
      </c>
      <c r="D14">
        <v>0.11</v>
      </c>
      <c r="E14">
        <v>0.36</v>
      </c>
      <c r="F14">
        <v>0.1</v>
      </c>
      <c r="G14">
        <v>0.16</v>
      </c>
    </row>
    <row r="15" spans="1:18" x14ac:dyDescent="0.35">
      <c r="B15">
        <v>0.27</v>
      </c>
      <c r="C15">
        <v>0.17</v>
      </c>
      <c r="D15">
        <v>0.09</v>
      </c>
      <c r="E15">
        <v>0.15</v>
      </c>
      <c r="F15">
        <v>0.21</v>
      </c>
      <c r="G15">
        <v>0.12</v>
      </c>
    </row>
    <row r="16" spans="1:18" x14ac:dyDescent="0.35">
      <c r="B16">
        <v>0.22</v>
      </c>
      <c r="C16">
        <v>0.15</v>
      </c>
      <c r="D16">
        <v>0.13</v>
      </c>
      <c r="E16">
        <v>0.16</v>
      </c>
      <c r="F16">
        <v>0.1</v>
      </c>
      <c r="G16">
        <v>0.09</v>
      </c>
    </row>
    <row r="17" spans="2:7" x14ac:dyDescent="0.35">
      <c r="B17">
        <v>0.24</v>
      </c>
      <c r="C17">
        <v>0.11</v>
      </c>
      <c r="D17">
        <v>0.14000000000000001</v>
      </c>
      <c r="E17">
        <v>0.06</v>
      </c>
      <c r="F17">
        <v>0.06</v>
      </c>
      <c r="G17">
        <v>0.12</v>
      </c>
    </row>
    <row r="18" spans="2:7" x14ac:dyDescent="0.35">
      <c r="B18">
        <v>0.23</v>
      </c>
      <c r="C18">
        <v>0.14000000000000001</v>
      </c>
      <c r="D18">
        <v>0.13</v>
      </c>
      <c r="E18">
        <v>0.16</v>
      </c>
      <c r="F18">
        <v>0.11</v>
      </c>
      <c r="G18">
        <v>0.09</v>
      </c>
    </row>
    <row r="19" spans="2:7" x14ac:dyDescent="0.35">
      <c r="B19">
        <v>0.3</v>
      </c>
      <c r="C19">
        <v>0.1</v>
      </c>
      <c r="D19">
        <v>0.1</v>
      </c>
      <c r="E19">
        <v>0.24</v>
      </c>
      <c r="F19">
        <v>0.1</v>
      </c>
      <c r="G19">
        <v>0.12</v>
      </c>
    </row>
    <row r="20" spans="2:7" x14ac:dyDescent="0.35">
      <c r="B20">
        <v>0.15</v>
      </c>
      <c r="C20">
        <v>0.12</v>
      </c>
      <c r="D20">
        <v>0.09</v>
      </c>
      <c r="E20">
        <v>0.16</v>
      </c>
      <c r="F20">
        <v>0.04</v>
      </c>
      <c r="G20">
        <v>7.0000000000000007E-2</v>
      </c>
    </row>
    <row r="21" spans="2:7" x14ac:dyDescent="0.35">
      <c r="B21">
        <v>0.22</v>
      </c>
      <c r="C21">
        <v>0.1</v>
      </c>
      <c r="D21">
        <v>0.06</v>
      </c>
      <c r="E21">
        <v>0.15</v>
      </c>
      <c r="F21">
        <v>0.05</v>
      </c>
      <c r="G21">
        <v>0.05</v>
      </c>
    </row>
    <row r="22" spans="2:7" x14ac:dyDescent="0.35">
      <c r="B22">
        <v>0.23</v>
      </c>
      <c r="C22">
        <v>0.05</v>
      </c>
      <c r="D22">
        <v>0.28999999999999998</v>
      </c>
      <c r="E22">
        <v>0.22</v>
      </c>
      <c r="F22">
        <v>0.12</v>
      </c>
      <c r="G22">
        <v>0.08</v>
      </c>
    </row>
    <row r="23" spans="2:7" x14ac:dyDescent="0.35">
      <c r="B23">
        <v>0.2</v>
      </c>
      <c r="C23">
        <v>0.25</v>
      </c>
      <c r="D23">
        <v>0.27</v>
      </c>
      <c r="E23">
        <v>0.19</v>
      </c>
      <c r="F23">
        <v>0.09</v>
      </c>
      <c r="G23">
        <v>0.06</v>
      </c>
    </row>
    <row r="24" spans="2:7" x14ac:dyDescent="0.35">
      <c r="B24">
        <v>0.2</v>
      </c>
      <c r="C24">
        <v>0.15</v>
      </c>
      <c r="D24">
        <v>0.17</v>
      </c>
      <c r="E24">
        <v>0.08</v>
      </c>
      <c r="G24">
        <v>0.03</v>
      </c>
    </row>
    <row r="25" spans="2:7" x14ac:dyDescent="0.35">
      <c r="B25">
        <v>0.3</v>
      </c>
      <c r="C25">
        <v>0.09</v>
      </c>
      <c r="D25">
        <v>0.21</v>
      </c>
      <c r="E25">
        <v>0.15</v>
      </c>
      <c r="G25">
        <v>0.1</v>
      </c>
    </row>
    <row r="26" spans="2:7" x14ac:dyDescent="0.35">
      <c r="B26">
        <v>0.24</v>
      </c>
      <c r="C26">
        <v>0.16</v>
      </c>
      <c r="D26">
        <v>0.21</v>
      </c>
      <c r="E26">
        <v>0.15</v>
      </c>
      <c r="G26">
        <v>0.08</v>
      </c>
    </row>
    <row r="27" spans="2:7" ht="15" x14ac:dyDescent="0.4">
      <c r="B27">
        <v>0.33</v>
      </c>
      <c r="C27">
        <v>0.08</v>
      </c>
      <c r="D27">
        <v>0.21</v>
      </c>
      <c r="E27">
        <v>0.1</v>
      </c>
      <c r="F27" s="6">
        <f>SUM(F7:F23)/17</f>
        <v>0.10352941176470591</v>
      </c>
      <c r="G27">
        <v>0.09</v>
      </c>
    </row>
    <row r="28" spans="2:7" x14ac:dyDescent="0.35">
      <c r="B28">
        <v>0.3</v>
      </c>
      <c r="C28">
        <v>0.11</v>
      </c>
      <c r="D28">
        <v>0.2</v>
      </c>
      <c r="E28">
        <v>0.09</v>
      </c>
      <c r="G28">
        <v>0.08</v>
      </c>
    </row>
    <row r="29" spans="2:7" x14ac:dyDescent="0.35">
      <c r="B29">
        <v>0.28000000000000003</v>
      </c>
      <c r="C29">
        <v>0.11</v>
      </c>
      <c r="D29">
        <v>0.19</v>
      </c>
      <c r="E29">
        <v>0.25</v>
      </c>
      <c r="G29">
        <v>0.08</v>
      </c>
    </row>
    <row r="30" spans="2:7" x14ac:dyDescent="0.35">
      <c r="B30">
        <v>0.28999999999999998</v>
      </c>
      <c r="C30">
        <v>0.08</v>
      </c>
      <c r="D30">
        <v>0.18</v>
      </c>
      <c r="E30">
        <v>0.17</v>
      </c>
      <c r="G30">
        <v>0.11</v>
      </c>
    </row>
    <row r="31" spans="2:7" x14ac:dyDescent="0.35">
      <c r="B31">
        <v>0.17</v>
      </c>
      <c r="C31">
        <v>0.05</v>
      </c>
      <c r="D31">
        <v>0.25</v>
      </c>
      <c r="G31">
        <v>0.09</v>
      </c>
    </row>
    <row r="32" spans="2:7" ht="15" x14ac:dyDescent="0.4">
      <c r="B32">
        <v>0.28000000000000003</v>
      </c>
      <c r="C32">
        <v>0.11</v>
      </c>
      <c r="D32">
        <v>0.18</v>
      </c>
      <c r="E32" s="6">
        <f>SUM(E7:E30)/24</f>
        <v>0.16</v>
      </c>
      <c r="G32">
        <v>7.0000000000000007E-2</v>
      </c>
    </row>
    <row r="33" spans="2:7" x14ac:dyDescent="0.35">
      <c r="B33">
        <v>0.22</v>
      </c>
      <c r="C33">
        <v>0.04</v>
      </c>
      <c r="D33">
        <v>0.23</v>
      </c>
      <c r="G33">
        <v>0.08</v>
      </c>
    </row>
    <row r="34" spans="2:7" x14ac:dyDescent="0.35">
      <c r="B34">
        <v>0.13</v>
      </c>
      <c r="C34">
        <v>0.08</v>
      </c>
      <c r="G34">
        <v>0.11</v>
      </c>
    </row>
    <row r="35" spans="2:7" x14ac:dyDescent="0.35">
      <c r="B35">
        <v>0.18</v>
      </c>
      <c r="C35">
        <v>0.06</v>
      </c>
      <c r="G35">
        <v>0.08</v>
      </c>
    </row>
    <row r="36" spans="2:7" x14ac:dyDescent="0.35">
      <c r="C36">
        <v>0.04</v>
      </c>
      <c r="G36">
        <v>0.08</v>
      </c>
    </row>
    <row r="37" spans="2:7" x14ac:dyDescent="0.35">
      <c r="G37">
        <v>0.11</v>
      </c>
    </row>
    <row r="38" spans="2:7" ht="15" x14ac:dyDescent="0.4">
      <c r="B38" s="6">
        <f>SUM(B7:B35)/29</f>
        <v>0.24827586206896551</v>
      </c>
      <c r="C38" s="6">
        <f>SUM(C7:C36)/30</f>
        <v>0.11266666666666668</v>
      </c>
      <c r="D38" s="6">
        <f>SUM(D7:D33)/27</f>
        <v>0.15666666666666668</v>
      </c>
      <c r="G38">
        <v>0.11</v>
      </c>
    </row>
    <row r="39" spans="2:7" x14ac:dyDescent="0.35">
      <c r="G39">
        <v>0.09</v>
      </c>
    </row>
    <row r="40" spans="2:7" x14ac:dyDescent="0.35">
      <c r="G40">
        <v>0.1</v>
      </c>
    </row>
    <row r="41" spans="2:7" x14ac:dyDescent="0.35">
      <c r="G41">
        <v>0.08</v>
      </c>
    </row>
    <row r="42" spans="2:7" x14ac:dyDescent="0.35">
      <c r="G42">
        <v>0.09</v>
      </c>
    </row>
    <row r="43" spans="2:7" x14ac:dyDescent="0.35">
      <c r="G43">
        <v>7.0000000000000007E-2</v>
      </c>
    </row>
    <row r="44" spans="2:7" x14ac:dyDescent="0.35">
      <c r="G44">
        <v>0.1</v>
      </c>
    </row>
    <row r="45" spans="2:7" x14ac:dyDescent="0.35">
      <c r="G45">
        <v>0.11</v>
      </c>
    </row>
    <row r="46" spans="2:7" x14ac:dyDescent="0.35">
      <c r="G46">
        <v>0.1</v>
      </c>
    </row>
    <row r="47" spans="2:7" x14ac:dyDescent="0.35">
      <c r="G47">
        <v>0.22</v>
      </c>
    </row>
    <row r="48" spans="2:7" x14ac:dyDescent="0.35">
      <c r="G48">
        <v>0.11</v>
      </c>
    </row>
    <row r="49" spans="7:7" x14ac:dyDescent="0.35">
      <c r="G49">
        <v>0.16</v>
      </c>
    </row>
    <row r="50" spans="7:7" x14ac:dyDescent="0.35">
      <c r="G50">
        <v>0.17</v>
      </c>
    </row>
    <row r="51" spans="7:7" x14ac:dyDescent="0.35">
      <c r="G51">
        <v>0.16</v>
      </c>
    </row>
    <row r="52" spans="7:7" x14ac:dyDescent="0.35">
      <c r="G52">
        <v>0.15</v>
      </c>
    </row>
    <row r="53" spans="7:7" x14ac:dyDescent="0.35">
      <c r="G53">
        <v>0.14000000000000001</v>
      </c>
    </row>
    <row r="54" spans="7:7" x14ac:dyDescent="0.35">
      <c r="G54">
        <v>0.13</v>
      </c>
    </row>
    <row r="55" spans="7:7" x14ac:dyDescent="0.35">
      <c r="G55">
        <v>0.15</v>
      </c>
    </row>
    <row r="56" spans="7:7" x14ac:dyDescent="0.35">
      <c r="G56">
        <v>0.22</v>
      </c>
    </row>
    <row r="57" spans="7:7" x14ac:dyDescent="0.35">
      <c r="G57">
        <v>0.12</v>
      </c>
    </row>
    <row r="58" spans="7:7" x14ac:dyDescent="0.35">
      <c r="G58">
        <v>0.14000000000000001</v>
      </c>
    </row>
    <row r="59" spans="7:7" x14ac:dyDescent="0.35">
      <c r="G59">
        <v>0.13</v>
      </c>
    </row>
    <row r="60" spans="7:7" x14ac:dyDescent="0.35">
      <c r="G60">
        <v>0.15</v>
      </c>
    </row>
    <row r="61" spans="7:7" x14ac:dyDescent="0.35">
      <c r="G61">
        <v>0.21</v>
      </c>
    </row>
    <row r="62" spans="7:7" x14ac:dyDescent="0.35">
      <c r="G62">
        <v>0.12</v>
      </c>
    </row>
    <row r="63" spans="7:7" x14ac:dyDescent="0.35">
      <c r="G63">
        <v>0.17</v>
      </c>
    </row>
    <row r="64" spans="7:7" x14ac:dyDescent="0.35">
      <c r="G64">
        <v>0.21</v>
      </c>
    </row>
    <row r="65" spans="7:7" x14ac:dyDescent="0.35">
      <c r="G65">
        <v>0.17</v>
      </c>
    </row>
    <row r="67" spans="7:7" ht="15" x14ac:dyDescent="0.4">
      <c r="G67" s="6">
        <f>SUM(G7:G65)/59</f>
        <v>0.11271186440677965</v>
      </c>
    </row>
  </sheetData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3"/>
  <sheetViews>
    <sheetView workbookViewId="0">
      <selection activeCell="H25" sqref="H25"/>
    </sheetView>
  </sheetViews>
  <sheetFormatPr defaultRowHeight="12.75" x14ac:dyDescent="0.35"/>
  <cols>
    <col min="1" max="1" width="12.796875" customWidth="1"/>
    <col min="6" max="6" width="10.796875" bestFit="1" customWidth="1"/>
    <col min="7" max="7" width="10.796875" customWidth="1"/>
    <col min="12" max="12" width="9.33203125" bestFit="1" customWidth="1"/>
    <col min="28" max="28" width="9.46484375" customWidth="1"/>
  </cols>
  <sheetData>
    <row r="1" spans="1:39" x14ac:dyDescent="0.35">
      <c r="A1" t="s">
        <v>0</v>
      </c>
    </row>
    <row r="2" spans="1:39" x14ac:dyDescent="0.35">
      <c r="A2" t="s">
        <v>91</v>
      </c>
      <c r="AM2" s="17" t="s">
        <v>24</v>
      </c>
    </row>
    <row r="3" spans="1:39" x14ac:dyDescent="0.35">
      <c r="A3" t="s">
        <v>4</v>
      </c>
      <c r="B3" s="3" t="s">
        <v>24</v>
      </c>
      <c r="C3" s="3" t="s">
        <v>81</v>
      </c>
      <c r="D3" s="3" t="s">
        <v>84</v>
      </c>
      <c r="E3" s="3"/>
      <c r="F3" s="3" t="s">
        <v>82</v>
      </c>
      <c r="G3" s="3"/>
      <c r="H3" s="3" t="s">
        <v>85</v>
      </c>
      <c r="I3" s="3"/>
      <c r="J3" s="3"/>
      <c r="K3" s="22"/>
      <c r="L3" s="3" t="s">
        <v>161</v>
      </c>
      <c r="M3" s="3" t="s">
        <v>34</v>
      </c>
      <c r="N3" s="3" t="s">
        <v>160</v>
      </c>
      <c r="O3" s="3" t="s">
        <v>159</v>
      </c>
      <c r="P3" s="3" t="s">
        <v>158</v>
      </c>
      <c r="Q3" s="22" t="s">
        <v>24</v>
      </c>
      <c r="R3" s="3"/>
      <c r="S3" s="3"/>
      <c r="T3" s="3"/>
      <c r="U3" s="3"/>
      <c r="V3" s="3"/>
      <c r="AB3" s="3" t="s">
        <v>162</v>
      </c>
      <c r="AC3" s="3" t="s">
        <v>158</v>
      </c>
      <c r="AD3" s="3" t="s">
        <v>159</v>
      </c>
      <c r="AE3" s="3" t="s">
        <v>34</v>
      </c>
      <c r="AF3" s="3" t="s">
        <v>163</v>
      </c>
      <c r="AG3" s="3"/>
      <c r="AI3" s="16"/>
      <c r="AJ3" s="3" t="s">
        <v>162</v>
      </c>
      <c r="AK3" s="16" t="s">
        <v>34</v>
      </c>
      <c r="AL3" s="16"/>
      <c r="AM3" s="43" t="s">
        <v>34</v>
      </c>
    </row>
    <row r="4" spans="1:39" x14ac:dyDescent="0.35">
      <c r="A4" t="s">
        <v>2</v>
      </c>
      <c r="B4">
        <v>423289</v>
      </c>
      <c r="C4">
        <v>424964</v>
      </c>
      <c r="D4">
        <v>425325</v>
      </c>
      <c r="F4">
        <v>424130</v>
      </c>
      <c r="H4">
        <v>426583</v>
      </c>
    </row>
    <row r="5" spans="1:39" x14ac:dyDescent="0.35">
      <c r="A5" t="s">
        <v>1</v>
      </c>
      <c r="B5">
        <v>5447797</v>
      </c>
      <c r="C5">
        <v>5447298</v>
      </c>
      <c r="D5">
        <v>5447261</v>
      </c>
      <c r="F5">
        <v>5447561</v>
      </c>
      <c r="H5">
        <v>5446437</v>
      </c>
      <c r="L5" s="23">
        <f>M5/105</f>
        <v>9.5238095238095247E-3</v>
      </c>
      <c r="M5">
        <v>1</v>
      </c>
      <c r="N5">
        <f>LOG10(O5)</f>
        <v>2.5276299008713385</v>
      </c>
      <c r="O5">
        <f>P5+1</f>
        <v>337</v>
      </c>
      <c r="P5" s="19">
        <v>336</v>
      </c>
      <c r="Q5">
        <v>0.99</v>
      </c>
      <c r="AB5">
        <v>24.1</v>
      </c>
      <c r="AC5">
        <v>60.6</v>
      </c>
      <c r="AD5">
        <f>AC5+1</f>
        <v>61.6</v>
      </c>
      <c r="AE5">
        <v>1</v>
      </c>
      <c r="AF5" s="23">
        <f>AE5/96</f>
        <v>1.0416666666666666E-2</v>
      </c>
      <c r="AG5">
        <f>LOG10(AD5)</f>
        <v>1.7895807121644254</v>
      </c>
      <c r="AJ5" s="34" t="s">
        <v>218</v>
      </c>
      <c r="AK5" s="36">
        <f>COUNTIF(AC5:AC100,"&gt;=0")-COUNTIF(AC5:AC100,"&gt;4.99")</f>
        <v>2</v>
      </c>
      <c r="AM5" s="36">
        <f>COUNTIF(P$5:P$109,"&gt;=0")-COUNTIF(P$5:P$109,"&gt;4.999")</f>
        <v>74</v>
      </c>
    </row>
    <row r="6" spans="1:39" x14ac:dyDescent="0.35">
      <c r="B6" s="18" t="s">
        <v>115</v>
      </c>
      <c r="F6" t="s">
        <v>83</v>
      </c>
      <c r="H6" t="s">
        <v>86</v>
      </c>
      <c r="L6" s="23">
        <f t="shared" ref="L6:L69" si="0">M6/105</f>
        <v>1.9047619047619049E-2</v>
      </c>
      <c r="M6">
        <f>1+M5</f>
        <v>2</v>
      </c>
      <c r="N6">
        <f t="shared" ref="N6:N69" si="1">LOG10(O6)</f>
        <v>1.916453948549925</v>
      </c>
      <c r="O6">
        <f t="shared" ref="O6:O69" si="2">P6+1</f>
        <v>82.5</v>
      </c>
      <c r="P6" s="19">
        <v>81.5</v>
      </c>
      <c r="Q6">
        <v>1.01</v>
      </c>
      <c r="AB6">
        <v>27.8</v>
      </c>
      <c r="AC6">
        <v>54.6</v>
      </c>
      <c r="AD6">
        <f t="shared" ref="AD6:AD69" si="3">AC6+1</f>
        <v>55.6</v>
      </c>
      <c r="AE6">
        <f>AE5+1</f>
        <v>2</v>
      </c>
      <c r="AF6" s="23">
        <f t="shared" ref="AF6:AF69" si="4">AE6/96</f>
        <v>2.0833333333333332E-2</v>
      </c>
      <c r="AG6">
        <f t="shared" ref="AG6:AG69" si="5">LOG10(AD6)</f>
        <v>1.7450747915820575</v>
      </c>
      <c r="AJ6" s="34" t="s">
        <v>219</v>
      </c>
      <c r="AK6" s="36">
        <f>COUNTIF(AC5:AC100,"&gt;=5")-COUNTIF(AC5:AC100,"&gt;9.999")</f>
        <v>4</v>
      </c>
      <c r="AM6" s="36">
        <f>COUNTIF(P$5:P$109,"&gt;=5")-COUNTIF(P$5:P$109,"&gt;9.999")</f>
        <v>12</v>
      </c>
    </row>
    <row r="7" spans="1:39" x14ac:dyDescent="0.35">
      <c r="B7">
        <v>0.99</v>
      </c>
      <c r="C7">
        <v>24.1</v>
      </c>
      <c r="D7">
        <v>18.2</v>
      </c>
      <c r="F7">
        <v>0.1</v>
      </c>
      <c r="H7">
        <v>0.09</v>
      </c>
      <c r="L7" s="23">
        <f t="shared" si="0"/>
        <v>2.8571428571428571E-2</v>
      </c>
      <c r="M7">
        <f t="shared" ref="M7:M70" si="6">1+M6</f>
        <v>3</v>
      </c>
      <c r="N7">
        <f t="shared" si="1"/>
        <v>1.8715729355458788</v>
      </c>
      <c r="O7">
        <f t="shared" si="2"/>
        <v>74.400000000000006</v>
      </c>
      <c r="P7" s="19">
        <v>73.400000000000006</v>
      </c>
      <c r="Q7">
        <v>2.69</v>
      </c>
      <c r="AB7">
        <v>19.5</v>
      </c>
      <c r="AC7">
        <v>46.6</v>
      </c>
      <c r="AD7">
        <f t="shared" si="3"/>
        <v>47.6</v>
      </c>
      <c r="AE7">
        <f t="shared" ref="AE7:AE70" si="7">AE6+1</f>
        <v>3</v>
      </c>
      <c r="AF7" s="23">
        <f t="shared" si="4"/>
        <v>3.125E-2</v>
      </c>
      <c r="AG7">
        <f t="shared" si="5"/>
        <v>1.6776069527204931</v>
      </c>
      <c r="AJ7" s="34" t="s">
        <v>220</v>
      </c>
      <c r="AK7" s="36">
        <f>COUNTIF(AC$5:AC$100,"&gt;=10")-COUNTIF(AC$5:AC$100,"&gt;14.999")</f>
        <v>16</v>
      </c>
      <c r="AM7" s="36">
        <f>COUNTIF(P$5:P$109,"&gt;=10")-COUNTIF(P$5:P$109,"&gt;14.999")</f>
        <v>2</v>
      </c>
    </row>
    <row r="8" spans="1:39" x14ac:dyDescent="0.35">
      <c r="B8">
        <v>1.01</v>
      </c>
      <c r="C8">
        <v>27.8</v>
      </c>
      <c r="D8">
        <v>20.3</v>
      </c>
      <c r="F8">
        <v>0.11</v>
      </c>
      <c r="H8">
        <v>0.21</v>
      </c>
      <c r="L8" s="23">
        <f t="shared" si="0"/>
        <v>3.8095238095238099E-2</v>
      </c>
      <c r="M8">
        <f t="shared" si="6"/>
        <v>4</v>
      </c>
      <c r="N8">
        <f t="shared" si="1"/>
        <v>1.8444771757456815</v>
      </c>
      <c r="O8">
        <f t="shared" si="2"/>
        <v>69.900000000000006</v>
      </c>
      <c r="P8" s="19">
        <v>68.900000000000006</v>
      </c>
      <c r="Q8">
        <v>28.9</v>
      </c>
      <c r="AB8">
        <v>22.1</v>
      </c>
      <c r="AC8">
        <v>42.6</v>
      </c>
      <c r="AD8">
        <f t="shared" si="3"/>
        <v>43.6</v>
      </c>
      <c r="AE8">
        <f t="shared" si="7"/>
        <v>4</v>
      </c>
      <c r="AF8" s="23">
        <f t="shared" si="4"/>
        <v>4.1666666666666664E-2</v>
      </c>
      <c r="AG8">
        <f t="shared" si="5"/>
        <v>1.6394864892685861</v>
      </c>
      <c r="AJ8" s="34" t="s">
        <v>221</v>
      </c>
      <c r="AK8" s="36">
        <f>COUNTIF(AC$5:AC$100,"&gt;=15")-COUNTIF(AC$5:AC$100,"&gt;19.999")</f>
        <v>15</v>
      </c>
      <c r="AM8" s="36">
        <f>COUNTIF(P$5:P$109,"&gt;=15")-COUNTIF(P$5:P$109,"&gt;19.999")</f>
        <v>3</v>
      </c>
    </row>
    <row r="9" spans="1:39" x14ac:dyDescent="0.35">
      <c r="B9">
        <v>2.69</v>
      </c>
      <c r="C9">
        <v>19.5</v>
      </c>
      <c r="D9">
        <v>8.6199999999999992</v>
      </c>
      <c r="F9">
        <v>0.15</v>
      </c>
      <c r="H9">
        <v>0.05</v>
      </c>
      <c r="L9" s="23">
        <f t="shared" si="0"/>
        <v>4.7619047619047616E-2</v>
      </c>
      <c r="M9">
        <f t="shared" si="6"/>
        <v>5</v>
      </c>
      <c r="N9">
        <f t="shared" si="1"/>
        <v>1.6937269489236468</v>
      </c>
      <c r="O9">
        <f t="shared" si="2"/>
        <v>49.4</v>
      </c>
      <c r="P9" s="19">
        <v>48.4</v>
      </c>
      <c r="Q9">
        <v>3.06</v>
      </c>
      <c r="AB9">
        <v>60.6</v>
      </c>
      <c r="AC9">
        <v>40</v>
      </c>
      <c r="AD9">
        <f t="shared" si="3"/>
        <v>41</v>
      </c>
      <c r="AE9">
        <f t="shared" si="7"/>
        <v>5</v>
      </c>
      <c r="AF9" s="23">
        <f t="shared" si="4"/>
        <v>5.2083333333333336E-2</v>
      </c>
      <c r="AG9">
        <f t="shared" si="5"/>
        <v>1.6127838567197355</v>
      </c>
      <c r="AJ9" s="34" t="s">
        <v>222</v>
      </c>
      <c r="AK9" s="36">
        <f>COUNTIF(AC$5:AC$100,"&gt;=20")-COUNTIF(AC$5:AC$100,"&gt;24.999")</f>
        <v>31</v>
      </c>
      <c r="AM9" s="36">
        <f>COUNTIF(P$5:P$109,"&gt;=20")-COUNTIF(P$5:P$109,"&gt;24.999")</f>
        <v>1</v>
      </c>
    </row>
    <row r="10" spans="1:39" x14ac:dyDescent="0.35">
      <c r="B10">
        <v>28.9</v>
      </c>
      <c r="C10">
        <v>22.1</v>
      </c>
      <c r="D10">
        <v>19.2</v>
      </c>
      <c r="F10">
        <v>0.13</v>
      </c>
      <c r="H10">
        <v>0.04</v>
      </c>
      <c r="L10" s="23">
        <f t="shared" si="0"/>
        <v>5.7142857142857141E-2</v>
      </c>
      <c r="M10">
        <f t="shared" si="6"/>
        <v>6</v>
      </c>
      <c r="N10">
        <f t="shared" si="1"/>
        <v>1.6848453616444126</v>
      </c>
      <c r="O10">
        <f t="shared" si="2"/>
        <v>48.4</v>
      </c>
      <c r="P10" s="19">
        <v>47.4</v>
      </c>
      <c r="Q10">
        <v>5.48</v>
      </c>
      <c r="AB10" s="27">
        <v>22.1</v>
      </c>
      <c r="AC10" s="25">
        <v>34.5</v>
      </c>
      <c r="AD10">
        <f t="shared" si="3"/>
        <v>35.5</v>
      </c>
      <c r="AE10">
        <f t="shared" si="7"/>
        <v>6</v>
      </c>
      <c r="AF10" s="23">
        <f t="shared" si="4"/>
        <v>6.25E-2</v>
      </c>
      <c r="AG10">
        <f t="shared" si="5"/>
        <v>1.550228353055094</v>
      </c>
      <c r="AJ10" s="34" t="s">
        <v>223</v>
      </c>
      <c r="AK10" s="36">
        <f>COUNTIF(AC$5:AC$100,"&gt;=25")-COUNTIF(AC$5:AC$100,"&gt;29.999")</f>
        <v>17</v>
      </c>
      <c r="AM10" s="36">
        <f>COUNTIF(P$5:P$109,"&gt;=25")-COUNTIF(P$5:P$109,"&gt;29.999")</f>
        <v>2</v>
      </c>
    </row>
    <row r="11" spans="1:39" x14ac:dyDescent="0.35">
      <c r="B11">
        <v>3.06</v>
      </c>
      <c r="C11">
        <v>60.6</v>
      </c>
      <c r="D11">
        <v>26.6</v>
      </c>
      <c r="F11">
        <v>0.18</v>
      </c>
      <c r="H11">
        <v>0.1</v>
      </c>
      <c r="L11" s="23">
        <f t="shared" si="0"/>
        <v>6.6666666666666666E-2</v>
      </c>
      <c r="M11">
        <f t="shared" si="6"/>
        <v>7</v>
      </c>
      <c r="N11">
        <f t="shared" si="1"/>
        <v>1.6618126855372612</v>
      </c>
      <c r="O11">
        <f t="shared" si="2"/>
        <v>45.9</v>
      </c>
      <c r="P11" s="19">
        <v>44.9</v>
      </c>
      <c r="Q11">
        <v>1.19</v>
      </c>
      <c r="AB11" s="27">
        <v>46.6</v>
      </c>
      <c r="AC11" s="25">
        <v>32.799999999999997</v>
      </c>
      <c r="AD11">
        <f t="shared" si="3"/>
        <v>33.799999999999997</v>
      </c>
      <c r="AE11">
        <f t="shared" si="7"/>
        <v>7</v>
      </c>
      <c r="AF11" s="23">
        <f t="shared" si="4"/>
        <v>7.2916666666666671E-2</v>
      </c>
      <c r="AG11">
        <f t="shared" si="5"/>
        <v>1.5289167002776547</v>
      </c>
      <c r="AJ11" s="34" t="s">
        <v>224</v>
      </c>
      <c r="AK11" s="36">
        <f>COUNTIF(AC$5:AC$100,"&gt;=30")-COUNTIF(AC$5:AC$100,"&gt;34.999")</f>
        <v>6</v>
      </c>
      <c r="AM11" s="36">
        <f>COUNTIF(P$5:P$109,"&gt;=30")-COUNTIF(P$5:P$109,"&gt;34.999")</f>
        <v>1</v>
      </c>
    </row>
    <row r="12" spans="1:39" x14ac:dyDescent="0.35">
      <c r="B12">
        <v>5.48</v>
      </c>
      <c r="C12">
        <v>22.1</v>
      </c>
      <c r="D12">
        <v>26.6</v>
      </c>
      <c r="F12">
        <v>0.17</v>
      </c>
      <c r="H12">
        <v>7.0000000000000007E-2</v>
      </c>
      <c r="L12" s="23">
        <f t="shared" si="0"/>
        <v>7.6190476190476197E-2</v>
      </c>
      <c r="M12">
        <f t="shared" si="6"/>
        <v>8</v>
      </c>
      <c r="N12">
        <f t="shared" si="1"/>
        <v>1.6283889300503116</v>
      </c>
      <c r="O12">
        <f t="shared" si="2"/>
        <v>42.5</v>
      </c>
      <c r="P12" s="19">
        <v>41.5</v>
      </c>
      <c r="Q12">
        <v>1.75</v>
      </c>
      <c r="AB12" s="27">
        <v>54.6</v>
      </c>
      <c r="AC12" s="25">
        <v>32.700000000000003</v>
      </c>
      <c r="AD12">
        <f t="shared" si="3"/>
        <v>33.700000000000003</v>
      </c>
      <c r="AE12">
        <f t="shared" si="7"/>
        <v>8</v>
      </c>
      <c r="AF12" s="23">
        <f t="shared" si="4"/>
        <v>8.3333333333333329E-2</v>
      </c>
      <c r="AG12">
        <f t="shared" si="5"/>
        <v>1.5276299008713388</v>
      </c>
      <c r="AJ12" s="34" t="s">
        <v>225</v>
      </c>
      <c r="AK12" s="36">
        <f>COUNTIF(AC$5:AC$100,"&gt;=35")-COUNTIF(AC$5:AC$100,"&gt;39.999")</f>
        <v>0</v>
      </c>
      <c r="AM12" s="36">
        <f>COUNTIF(P$5:P$109,"&gt;=35")-COUNTIF(P$5:P$109,"&gt;39.999")</f>
        <v>2</v>
      </c>
    </row>
    <row r="13" spans="1:39" x14ac:dyDescent="0.35">
      <c r="B13">
        <v>1.19</v>
      </c>
      <c r="C13">
        <v>46.6</v>
      </c>
      <c r="D13">
        <v>21.2</v>
      </c>
      <c r="F13">
        <v>0.16</v>
      </c>
      <c r="H13">
        <v>0.1</v>
      </c>
      <c r="L13" s="23">
        <f t="shared" si="0"/>
        <v>8.5714285714285715E-2</v>
      </c>
      <c r="M13">
        <f t="shared" si="6"/>
        <v>9</v>
      </c>
      <c r="N13">
        <f t="shared" si="1"/>
        <v>1.5987905067631152</v>
      </c>
      <c r="O13">
        <f t="shared" si="2"/>
        <v>39.700000000000003</v>
      </c>
      <c r="P13" s="19">
        <v>38.700000000000003</v>
      </c>
      <c r="Q13">
        <v>2.94</v>
      </c>
      <c r="AB13" s="27">
        <v>22.3</v>
      </c>
      <c r="AC13" s="25">
        <v>31.7</v>
      </c>
      <c r="AD13">
        <f t="shared" si="3"/>
        <v>32.700000000000003</v>
      </c>
      <c r="AE13">
        <f t="shared" si="7"/>
        <v>9</v>
      </c>
      <c r="AF13" s="23">
        <f t="shared" si="4"/>
        <v>9.375E-2</v>
      </c>
      <c r="AG13">
        <f t="shared" si="5"/>
        <v>1.5145477526602862</v>
      </c>
      <c r="AJ13" s="34" t="s">
        <v>226</v>
      </c>
      <c r="AK13" s="36">
        <f>COUNTIF(AC$5:AC$100,"&gt;=40")-COUNTIF(AC$5:AC$100,"&gt;44.999")</f>
        <v>2</v>
      </c>
      <c r="AM13" s="36">
        <f>COUNTIF(P$5:P$109,"&gt;=40")-COUNTIF(P$5:P$109,"&gt;44.999")</f>
        <v>2</v>
      </c>
    </row>
    <row r="14" spans="1:39" x14ac:dyDescent="0.35">
      <c r="B14">
        <v>1.75</v>
      </c>
      <c r="C14">
        <v>54.6</v>
      </c>
      <c r="D14">
        <v>40</v>
      </c>
      <c r="F14">
        <v>0.19</v>
      </c>
      <c r="H14">
        <v>0.17</v>
      </c>
      <c r="L14" s="23">
        <f t="shared" si="0"/>
        <v>9.5238095238095233E-2</v>
      </c>
      <c r="M14">
        <f t="shared" si="6"/>
        <v>10</v>
      </c>
      <c r="N14">
        <f t="shared" si="1"/>
        <v>1.5809249756756194</v>
      </c>
      <c r="O14">
        <f t="shared" si="2"/>
        <v>38.1</v>
      </c>
      <c r="P14" s="19">
        <v>37.1</v>
      </c>
      <c r="Q14">
        <v>1.88</v>
      </c>
      <c r="AB14" s="27">
        <v>19.600000000000001</v>
      </c>
      <c r="AC14" s="25">
        <v>31.2</v>
      </c>
      <c r="AD14">
        <f t="shared" si="3"/>
        <v>32.200000000000003</v>
      </c>
      <c r="AE14">
        <f t="shared" si="7"/>
        <v>10</v>
      </c>
      <c r="AF14" s="23">
        <f t="shared" si="4"/>
        <v>0.10416666666666667</v>
      </c>
      <c r="AG14">
        <f t="shared" si="5"/>
        <v>1.507855871695831</v>
      </c>
      <c r="AJ14" s="34" t="s">
        <v>227</v>
      </c>
      <c r="AK14" s="36">
        <f>COUNTIF(AC$5:AC$100,"&gt;=45")-COUNTIF(AC$5:AC$100,"&gt;49.999")</f>
        <v>1</v>
      </c>
      <c r="AM14" s="36">
        <f>COUNTIF(P$5:P$109,"&gt;=45")-COUNTIF(P$5:P$109,"&gt;49.999")</f>
        <v>2</v>
      </c>
    </row>
    <row r="15" spans="1:39" x14ac:dyDescent="0.35">
      <c r="B15">
        <v>2.94</v>
      </c>
      <c r="C15">
        <v>22.3</v>
      </c>
      <c r="D15">
        <v>29.1</v>
      </c>
      <c r="F15">
        <v>0.16</v>
      </c>
      <c r="H15">
        <v>7.0000000000000007E-2</v>
      </c>
      <c r="L15" s="23">
        <f t="shared" si="0"/>
        <v>0.10476190476190476</v>
      </c>
      <c r="M15">
        <f t="shared" si="6"/>
        <v>11</v>
      </c>
      <c r="N15">
        <f t="shared" si="1"/>
        <v>1.5314789170422551</v>
      </c>
      <c r="O15">
        <f t="shared" si="2"/>
        <v>34</v>
      </c>
      <c r="P15" s="19">
        <v>33</v>
      </c>
      <c r="Q15">
        <v>38.700000000000003</v>
      </c>
      <c r="AB15" s="27">
        <v>30.6</v>
      </c>
      <c r="AC15" s="25">
        <v>30.6</v>
      </c>
      <c r="AD15">
        <f t="shared" si="3"/>
        <v>31.6</v>
      </c>
      <c r="AE15">
        <f t="shared" si="7"/>
        <v>11</v>
      </c>
      <c r="AF15" s="23">
        <f t="shared" si="4"/>
        <v>0.11458333333333333</v>
      </c>
      <c r="AG15">
        <f t="shared" si="5"/>
        <v>1.4996870826184039</v>
      </c>
      <c r="AJ15" s="34" t="s">
        <v>228</v>
      </c>
      <c r="AK15" s="36">
        <f>COUNTIF(AC$5:AC$100,"&gt;=50")-COUNTIF(AC$5:AC$100,"&gt;54.999")</f>
        <v>1</v>
      </c>
      <c r="AM15" s="36">
        <f>COUNTIF(P$5:P$109,"&gt;=50")-COUNTIF(P$5:P$109,"&gt;54.999")</f>
        <v>0</v>
      </c>
    </row>
    <row r="16" spans="1:39" x14ac:dyDescent="0.35">
      <c r="B16">
        <v>1.88</v>
      </c>
      <c r="C16">
        <v>19.600000000000001</v>
      </c>
      <c r="D16">
        <v>14.8</v>
      </c>
      <c r="F16">
        <v>0.22</v>
      </c>
      <c r="H16">
        <v>0.04</v>
      </c>
      <c r="L16" s="23">
        <f t="shared" si="0"/>
        <v>0.11428571428571428</v>
      </c>
      <c r="M16">
        <f t="shared" si="6"/>
        <v>12</v>
      </c>
      <c r="N16">
        <f t="shared" si="1"/>
        <v>1.4756711883244296</v>
      </c>
      <c r="O16">
        <f t="shared" si="2"/>
        <v>29.9</v>
      </c>
      <c r="P16" s="19">
        <v>28.9</v>
      </c>
      <c r="Q16">
        <v>0.32</v>
      </c>
      <c r="AB16" s="27">
        <v>34.5</v>
      </c>
      <c r="AC16" s="25">
        <v>29.7</v>
      </c>
      <c r="AD16">
        <f t="shared" si="3"/>
        <v>30.7</v>
      </c>
      <c r="AE16">
        <f t="shared" si="7"/>
        <v>12</v>
      </c>
      <c r="AF16" s="23">
        <f t="shared" si="4"/>
        <v>0.125</v>
      </c>
      <c r="AG16">
        <f t="shared" si="5"/>
        <v>1.4871383754771865</v>
      </c>
      <c r="AJ16" s="34" t="s">
        <v>229</v>
      </c>
      <c r="AK16" s="36">
        <f>COUNTIF(AC$5:AC$100,"&gt;=55")-COUNTIF(AC$5:AC$100,"&gt;59.999")</f>
        <v>0</v>
      </c>
      <c r="AM16" s="36">
        <f>COUNTIF(P$5:P$109,"&gt;=55")-COUNTIF(P$5:P$109,"&gt;59.999")</f>
        <v>0</v>
      </c>
    </row>
    <row r="17" spans="2:39" x14ac:dyDescent="0.35">
      <c r="B17">
        <v>38.700000000000003</v>
      </c>
      <c r="C17">
        <v>30.6</v>
      </c>
      <c r="D17">
        <v>16.100000000000001</v>
      </c>
      <c r="F17">
        <v>0.19</v>
      </c>
      <c r="H17">
        <v>0.03</v>
      </c>
      <c r="L17" s="23">
        <f t="shared" si="0"/>
        <v>0.12380952380952381</v>
      </c>
      <c r="M17">
        <f t="shared" si="6"/>
        <v>13</v>
      </c>
      <c r="N17">
        <f t="shared" si="1"/>
        <v>1.4668676203541096</v>
      </c>
      <c r="O17">
        <f t="shared" si="2"/>
        <v>29.3</v>
      </c>
      <c r="P17" s="19">
        <v>28.3</v>
      </c>
      <c r="Q17">
        <v>0.15</v>
      </c>
      <c r="AB17" s="27">
        <v>29.7</v>
      </c>
      <c r="AC17" s="25">
        <v>29.7</v>
      </c>
      <c r="AD17">
        <f t="shared" si="3"/>
        <v>30.7</v>
      </c>
      <c r="AE17">
        <f t="shared" si="7"/>
        <v>13</v>
      </c>
      <c r="AF17" s="23">
        <f t="shared" si="4"/>
        <v>0.13541666666666666</v>
      </c>
      <c r="AG17">
        <f t="shared" si="5"/>
        <v>1.4871383754771865</v>
      </c>
      <c r="AJ17" s="34" t="s">
        <v>230</v>
      </c>
      <c r="AK17" s="36">
        <f>COUNTIF(AC$5:AC$100,"&gt;=60")</f>
        <v>1</v>
      </c>
      <c r="AM17" s="36">
        <f>COUNTIF(P$5:P$109,"&gt;=60")</f>
        <v>4</v>
      </c>
    </row>
    <row r="18" spans="2:39" x14ac:dyDescent="0.35">
      <c r="B18">
        <v>0.32</v>
      </c>
      <c r="C18">
        <v>34.5</v>
      </c>
      <c r="D18">
        <v>17.7</v>
      </c>
      <c r="F18">
        <v>0.22</v>
      </c>
      <c r="H18">
        <v>0.05</v>
      </c>
      <c r="L18" s="23">
        <f t="shared" si="0"/>
        <v>0.13333333333333333</v>
      </c>
      <c r="M18">
        <f t="shared" si="6"/>
        <v>14</v>
      </c>
      <c r="N18">
        <f t="shared" si="1"/>
        <v>1.3521825181113625</v>
      </c>
      <c r="O18">
        <f t="shared" si="2"/>
        <v>22.5</v>
      </c>
      <c r="P18" s="19">
        <v>21.5</v>
      </c>
      <c r="Q18">
        <v>0.1</v>
      </c>
      <c r="AB18" s="27">
        <v>16.399999999999999</v>
      </c>
      <c r="AC18" s="25">
        <v>29.4</v>
      </c>
      <c r="AD18">
        <f t="shared" si="3"/>
        <v>30.4</v>
      </c>
      <c r="AE18">
        <f t="shared" si="7"/>
        <v>14</v>
      </c>
      <c r="AF18" s="23">
        <f t="shared" si="4"/>
        <v>0.14583333333333334</v>
      </c>
      <c r="AG18">
        <f t="shared" si="5"/>
        <v>1.4828735836087537</v>
      </c>
      <c r="AJ18" s="34"/>
      <c r="AK18" s="36"/>
    </row>
    <row r="19" spans="2:39" x14ac:dyDescent="0.35">
      <c r="B19">
        <v>0.15</v>
      </c>
      <c r="C19">
        <v>29.7</v>
      </c>
      <c r="D19">
        <v>16.7</v>
      </c>
      <c r="F19">
        <v>0.19</v>
      </c>
      <c r="H19">
        <v>7.0000000000000007E-2</v>
      </c>
      <c r="L19" s="23">
        <f t="shared" si="0"/>
        <v>0.14285714285714285</v>
      </c>
      <c r="M19">
        <f t="shared" si="6"/>
        <v>15</v>
      </c>
      <c r="N19">
        <f t="shared" si="1"/>
        <v>1.2764618041732441</v>
      </c>
      <c r="O19">
        <f t="shared" si="2"/>
        <v>18.899999999999999</v>
      </c>
      <c r="P19" s="19">
        <v>17.899999999999999</v>
      </c>
      <c r="Q19">
        <v>0.17</v>
      </c>
      <c r="AB19" s="27">
        <v>27.7</v>
      </c>
      <c r="AC19" s="25">
        <v>29.4</v>
      </c>
      <c r="AD19">
        <f t="shared" si="3"/>
        <v>30.4</v>
      </c>
      <c r="AE19">
        <f t="shared" si="7"/>
        <v>15</v>
      </c>
      <c r="AF19" s="23">
        <f t="shared" si="4"/>
        <v>0.15625</v>
      </c>
      <c r="AG19">
        <f t="shared" si="5"/>
        <v>1.4828735836087537</v>
      </c>
      <c r="AJ19" s="34"/>
      <c r="AK19" s="36"/>
    </row>
    <row r="20" spans="2:39" x14ac:dyDescent="0.35">
      <c r="B20">
        <v>0.1</v>
      </c>
      <c r="C20">
        <v>16.399999999999999</v>
      </c>
      <c r="D20">
        <v>31.7</v>
      </c>
      <c r="F20">
        <v>0.2</v>
      </c>
      <c r="H20">
        <v>0.06</v>
      </c>
      <c r="L20" s="23">
        <f t="shared" si="0"/>
        <v>0.15238095238095239</v>
      </c>
      <c r="M20">
        <f t="shared" si="6"/>
        <v>16</v>
      </c>
      <c r="N20">
        <f t="shared" si="1"/>
        <v>1.2253092817258628</v>
      </c>
      <c r="O20">
        <f t="shared" si="2"/>
        <v>16.8</v>
      </c>
      <c r="P20" s="19">
        <v>15.8</v>
      </c>
      <c r="Q20">
        <v>0.1</v>
      </c>
      <c r="AB20" s="27">
        <v>9.01</v>
      </c>
      <c r="AC20" s="25">
        <v>29.1</v>
      </c>
      <c r="AD20">
        <f t="shared" si="3"/>
        <v>30.1</v>
      </c>
      <c r="AE20">
        <f t="shared" si="7"/>
        <v>16</v>
      </c>
      <c r="AF20" s="23">
        <f t="shared" si="4"/>
        <v>0.16666666666666666</v>
      </c>
      <c r="AG20">
        <f t="shared" si="5"/>
        <v>1.4785664955938433</v>
      </c>
      <c r="AJ20" s="34"/>
      <c r="AK20" s="36"/>
    </row>
    <row r="21" spans="2:39" x14ac:dyDescent="0.35">
      <c r="B21">
        <v>0.17</v>
      </c>
      <c r="C21">
        <v>27.7</v>
      </c>
      <c r="D21">
        <v>31.2</v>
      </c>
      <c r="F21">
        <v>0.22</v>
      </c>
      <c r="H21">
        <v>0.13</v>
      </c>
      <c r="L21" s="23">
        <f t="shared" si="0"/>
        <v>0.16190476190476191</v>
      </c>
      <c r="M21">
        <f t="shared" si="6"/>
        <v>17</v>
      </c>
      <c r="N21">
        <f t="shared" si="1"/>
        <v>1.2174839442139063</v>
      </c>
      <c r="O21">
        <f t="shared" si="2"/>
        <v>16.5</v>
      </c>
      <c r="P21" s="19">
        <v>15.5</v>
      </c>
      <c r="Q21">
        <v>7.99</v>
      </c>
      <c r="AB21" s="27">
        <v>13.9</v>
      </c>
      <c r="AC21" s="25">
        <v>28.3</v>
      </c>
      <c r="AD21">
        <f t="shared" si="3"/>
        <v>29.3</v>
      </c>
      <c r="AE21">
        <f t="shared" si="7"/>
        <v>17</v>
      </c>
      <c r="AF21" s="23">
        <f t="shared" si="4"/>
        <v>0.17708333333333334</v>
      </c>
      <c r="AG21">
        <f t="shared" si="5"/>
        <v>1.4668676203541096</v>
      </c>
      <c r="AJ21" s="34"/>
      <c r="AK21" s="36"/>
    </row>
    <row r="22" spans="2:39" x14ac:dyDescent="0.35">
      <c r="B22">
        <v>0.1</v>
      </c>
      <c r="C22">
        <v>9.01</v>
      </c>
      <c r="D22">
        <v>17.7</v>
      </c>
      <c r="H22">
        <v>0.08</v>
      </c>
      <c r="L22" s="23">
        <f t="shared" si="0"/>
        <v>0.17142857142857143</v>
      </c>
      <c r="M22">
        <f t="shared" si="6"/>
        <v>18</v>
      </c>
      <c r="N22">
        <f t="shared" si="1"/>
        <v>1.110589710299249</v>
      </c>
      <c r="O22">
        <f t="shared" si="2"/>
        <v>12.9</v>
      </c>
      <c r="P22" s="19">
        <v>11.9</v>
      </c>
      <c r="Q22">
        <v>5.89</v>
      </c>
      <c r="AB22" s="27">
        <v>3.35</v>
      </c>
      <c r="AC22" s="25">
        <v>28.1</v>
      </c>
      <c r="AD22">
        <f t="shared" si="3"/>
        <v>29.1</v>
      </c>
      <c r="AE22">
        <f t="shared" si="7"/>
        <v>18</v>
      </c>
      <c r="AF22" s="23">
        <f t="shared" si="4"/>
        <v>0.1875</v>
      </c>
      <c r="AG22">
        <f t="shared" si="5"/>
        <v>1.4638929889859074</v>
      </c>
      <c r="AJ22" s="34"/>
      <c r="AK22" s="36"/>
    </row>
    <row r="23" spans="2:39" ht="15" x14ac:dyDescent="0.4">
      <c r="B23">
        <v>7.99</v>
      </c>
      <c r="C23">
        <v>13.9</v>
      </c>
      <c r="D23">
        <v>21.4</v>
      </c>
      <c r="F23" s="6">
        <f>SUM(F7:F21)/15</f>
        <v>0.17266666666666669</v>
      </c>
      <c r="G23" s="6"/>
      <c r="H23">
        <v>0.08</v>
      </c>
      <c r="L23" s="23">
        <f t="shared" si="0"/>
        <v>0.18095238095238095</v>
      </c>
      <c r="M23">
        <f t="shared" si="6"/>
        <v>19</v>
      </c>
      <c r="N23">
        <f t="shared" si="1"/>
        <v>1.0453229787866574</v>
      </c>
      <c r="O23">
        <f t="shared" si="2"/>
        <v>11.1</v>
      </c>
      <c r="P23" s="19">
        <v>10.1</v>
      </c>
      <c r="Q23">
        <v>0.42</v>
      </c>
      <c r="AB23" s="27">
        <v>18.600000000000001</v>
      </c>
      <c r="AC23" s="25">
        <v>27.8</v>
      </c>
      <c r="AD23">
        <f t="shared" si="3"/>
        <v>28.8</v>
      </c>
      <c r="AE23">
        <f t="shared" si="7"/>
        <v>19</v>
      </c>
      <c r="AF23" s="23">
        <f t="shared" si="4"/>
        <v>0.19791666666666666</v>
      </c>
      <c r="AG23">
        <f t="shared" si="5"/>
        <v>1.4593924877592308</v>
      </c>
      <c r="AJ23" s="34"/>
      <c r="AK23" s="36"/>
    </row>
    <row r="24" spans="2:39" x14ac:dyDescent="0.35">
      <c r="B24">
        <v>5.89</v>
      </c>
      <c r="C24">
        <v>3.35</v>
      </c>
      <c r="D24">
        <v>22.6</v>
      </c>
      <c r="H24">
        <v>0.02</v>
      </c>
      <c r="L24" s="23">
        <f t="shared" si="0"/>
        <v>0.19047619047619047</v>
      </c>
      <c r="M24">
        <f t="shared" si="6"/>
        <v>20</v>
      </c>
      <c r="N24">
        <f t="shared" si="1"/>
        <v>1.0216027160282422</v>
      </c>
      <c r="O24">
        <f t="shared" si="2"/>
        <v>10.51</v>
      </c>
      <c r="P24" s="19">
        <v>9.51</v>
      </c>
      <c r="Q24">
        <v>0.19</v>
      </c>
      <c r="AB24" s="27">
        <v>5.79</v>
      </c>
      <c r="AC24" s="25">
        <v>27.8</v>
      </c>
      <c r="AD24">
        <f t="shared" si="3"/>
        <v>28.8</v>
      </c>
      <c r="AE24">
        <f t="shared" si="7"/>
        <v>20</v>
      </c>
      <c r="AF24" s="23">
        <f t="shared" si="4"/>
        <v>0.20833333333333334</v>
      </c>
      <c r="AG24">
        <f t="shared" si="5"/>
        <v>1.4593924877592308</v>
      </c>
      <c r="AJ24" s="3" t="s">
        <v>24</v>
      </c>
      <c r="AK24" s="16"/>
    </row>
    <row r="25" spans="2:39" x14ac:dyDescent="0.35">
      <c r="B25">
        <v>0.42</v>
      </c>
      <c r="C25">
        <v>18.600000000000001</v>
      </c>
      <c r="D25">
        <v>22</v>
      </c>
      <c r="H25">
        <v>0.02</v>
      </c>
      <c r="L25" s="23">
        <f t="shared" si="0"/>
        <v>0.2</v>
      </c>
      <c r="M25">
        <f t="shared" si="6"/>
        <v>21</v>
      </c>
      <c r="N25">
        <f t="shared" si="1"/>
        <v>1.0203612826477078</v>
      </c>
      <c r="O25">
        <f t="shared" si="2"/>
        <v>10.48</v>
      </c>
      <c r="P25" s="19">
        <v>9.48</v>
      </c>
      <c r="Q25">
        <v>0.23</v>
      </c>
      <c r="S25" t="s">
        <v>165</v>
      </c>
      <c r="X25" t="s">
        <v>164</v>
      </c>
      <c r="AB25" s="27">
        <v>0.69</v>
      </c>
      <c r="AC25" s="25">
        <v>27.7</v>
      </c>
      <c r="AD25">
        <f t="shared" si="3"/>
        <v>28.7</v>
      </c>
      <c r="AE25">
        <f t="shared" si="7"/>
        <v>21</v>
      </c>
      <c r="AF25" s="23">
        <f t="shared" si="4"/>
        <v>0.21875</v>
      </c>
      <c r="AG25">
        <f t="shared" si="5"/>
        <v>1.4578818967339924</v>
      </c>
      <c r="AJ25" s="16" t="s">
        <v>231</v>
      </c>
      <c r="AK25" s="36">
        <f>COUNTIF(P$5:P$109,"&gt;=0")-COUNTIF(P$5:P$109,"&gt;0.199")</f>
        <v>13</v>
      </c>
    </row>
    <row r="26" spans="2:39" x14ac:dyDescent="0.35">
      <c r="B26">
        <v>0.19</v>
      </c>
      <c r="C26">
        <v>5.79</v>
      </c>
      <c r="D26">
        <v>26.4</v>
      </c>
      <c r="L26" s="23">
        <f t="shared" si="0"/>
        <v>0.20952380952380953</v>
      </c>
      <c r="M26">
        <f t="shared" si="6"/>
        <v>22</v>
      </c>
      <c r="N26">
        <f t="shared" si="1"/>
        <v>1.0111473607757975</v>
      </c>
      <c r="O26">
        <f t="shared" si="2"/>
        <v>10.26</v>
      </c>
      <c r="P26" s="19">
        <v>9.26</v>
      </c>
      <c r="Q26">
        <v>44.9</v>
      </c>
      <c r="S26" s="31" t="s">
        <v>184</v>
      </c>
      <c r="T26" s="19"/>
      <c r="U26" s="19"/>
      <c r="V26" s="19"/>
      <c r="W26" s="19"/>
      <c r="X26" s="18" t="s">
        <v>186</v>
      </c>
      <c r="AB26" s="27">
        <v>12.2</v>
      </c>
      <c r="AC26" s="25">
        <v>26.6</v>
      </c>
      <c r="AD26">
        <f t="shared" si="3"/>
        <v>27.6</v>
      </c>
      <c r="AE26">
        <f t="shared" si="7"/>
        <v>22</v>
      </c>
      <c r="AF26" s="23">
        <f t="shared" si="4"/>
        <v>0.22916666666666666</v>
      </c>
      <c r="AG26">
        <f t="shared" si="5"/>
        <v>1.4409090820652177</v>
      </c>
      <c r="AJ26" s="3" t="s">
        <v>232</v>
      </c>
      <c r="AK26" s="36">
        <f>COUNTIF(P$5:P$109,"&gt;=0.2")-COUNTIF(P$5:P$109,"&gt;0.399")</f>
        <v>33</v>
      </c>
    </row>
    <row r="27" spans="2:39" ht="15" x14ac:dyDescent="0.4">
      <c r="B27">
        <v>0.23</v>
      </c>
      <c r="C27">
        <v>0.69</v>
      </c>
      <c r="D27">
        <v>23.1</v>
      </c>
      <c r="H27" s="6">
        <f>SUM(H7:H25)/19</f>
        <v>7.789473684210528E-2</v>
      </c>
      <c r="L27" s="23">
        <f t="shared" si="0"/>
        <v>0.21904761904761905</v>
      </c>
      <c r="M27">
        <f t="shared" si="6"/>
        <v>23</v>
      </c>
      <c r="N27">
        <f t="shared" si="1"/>
        <v>0.99782308074572545</v>
      </c>
      <c r="O27">
        <f t="shared" si="2"/>
        <v>9.9499999999999993</v>
      </c>
      <c r="P27" s="19">
        <v>8.9499999999999993</v>
      </c>
      <c r="Q27">
        <v>0.53</v>
      </c>
      <c r="S27" s="33" t="s">
        <v>185</v>
      </c>
      <c r="T27" s="30"/>
      <c r="U27" s="30"/>
      <c r="V27" s="30"/>
      <c r="W27" s="30"/>
      <c r="AB27" s="27">
        <v>27.8</v>
      </c>
      <c r="AC27" s="25">
        <v>26.6</v>
      </c>
      <c r="AD27">
        <f t="shared" si="3"/>
        <v>27.6</v>
      </c>
      <c r="AE27">
        <f t="shared" si="7"/>
        <v>23</v>
      </c>
      <c r="AF27" s="23">
        <f t="shared" si="4"/>
        <v>0.23958333333333334</v>
      </c>
      <c r="AG27">
        <f t="shared" si="5"/>
        <v>1.4409090820652177</v>
      </c>
      <c r="AJ27" s="3" t="s">
        <v>233</v>
      </c>
      <c r="AK27" s="36">
        <f>COUNTIF(P$5:P$109,"&gt;=0.4")-COUNTIF(P$5:P$109,"&gt;0.599")</f>
        <v>8</v>
      </c>
    </row>
    <row r="28" spans="2:39" x14ac:dyDescent="0.35">
      <c r="B28">
        <v>44.9</v>
      </c>
      <c r="C28">
        <v>12.2</v>
      </c>
      <c r="D28">
        <v>32.799999999999997</v>
      </c>
      <c r="L28" s="23">
        <f t="shared" si="0"/>
        <v>0.22857142857142856</v>
      </c>
      <c r="M28">
        <f t="shared" si="6"/>
        <v>24</v>
      </c>
      <c r="N28">
        <f t="shared" si="1"/>
        <v>0.99431715266963672</v>
      </c>
      <c r="O28">
        <f t="shared" si="2"/>
        <v>9.8699999999999992</v>
      </c>
      <c r="P28" s="19">
        <v>8.8699999999999992</v>
      </c>
      <c r="Q28">
        <v>0.37</v>
      </c>
      <c r="AB28" s="27">
        <v>25.3</v>
      </c>
      <c r="AC28" s="25">
        <v>26.4</v>
      </c>
      <c r="AD28">
        <f t="shared" si="3"/>
        <v>27.4</v>
      </c>
      <c r="AE28">
        <f t="shared" si="7"/>
        <v>24</v>
      </c>
      <c r="AF28" s="23">
        <f t="shared" si="4"/>
        <v>0.25</v>
      </c>
      <c r="AG28">
        <f t="shared" si="5"/>
        <v>1.4377505628203879</v>
      </c>
      <c r="AJ28" s="3" t="s">
        <v>234</v>
      </c>
      <c r="AK28" s="36">
        <f>COUNTIF(P$5:P$109,"&gt;=0.6")-COUNTIF(P$5:P$109,"&gt;0.799")</f>
        <v>5</v>
      </c>
    </row>
    <row r="29" spans="2:39" x14ac:dyDescent="0.35">
      <c r="B29">
        <v>0.53</v>
      </c>
      <c r="C29">
        <v>27.8</v>
      </c>
      <c r="D29">
        <v>23.1</v>
      </c>
      <c r="L29" s="23">
        <f t="shared" si="0"/>
        <v>0.23809523809523808</v>
      </c>
      <c r="M29">
        <f t="shared" si="6"/>
        <v>25</v>
      </c>
      <c r="N29">
        <f t="shared" si="1"/>
        <v>0.98227123303956843</v>
      </c>
      <c r="O29">
        <f t="shared" si="2"/>
        <v>9.6</v>
      </c>
      <c r="P29" s="19">
        <v>8.6</v>
      </c>
      <c r="Q29">
        <v>0.47</v>
      </c>
      <c r="AB29" s="27">
        <v>32.700000000000003</v>
      </c>
      <c r="AC29" s="25">
        <v>26.3</v>
      </c>
      <c r="AD29">
        <f t="shared" si="3"/>
        <v>27.3</v>
      </c>
      <c r="AE29">
        <f t="shared" si="7"/>
        <v>25</v>
      </c>
      <c r="AF29" s="23">
        <f t="shared" si="4"/>
        <v>0.26041666666666669</v>
      </c>
      <c r="AG29">
        <f t="shared" si="5"/>
        <v>1.436162647040756</v>
      </c>
      <c r="AJ29" s="3" t="s">
        <v>235</v>
      </c>
      <c r="AK29" s="36">
        <f>COUNTIF(P$5:P$109,"&gt;=0.8")-COUNTIF(P$5:P$109,"&gt;0.999")</f>
        <v>1</v>
      </c>
    </row>
    <row r="30" spans="2:39" x14ac:dyDescent="0.35">
      <c r="B30">
        <v>0.37</v>
      </c>
      <c r="C30">
        <v>25.3</v>
      </c>
      <c r="D30">
        <v>20.8</v>
      </c>
      <c r="L30" s="23">
        <f t="shared" si="0"/>
        <v>0.24761904761904763</v>
      </c>
      <c r="M30">
        <f t="shared" si="6"/>
        <v>26</v>
      </c>
      <c r="N30">
        <f t="shared" si="1"/>
        <v>0.95375969173322883</v>
      </c>
      <c r="O30">
        <f t="shared" si="2"/>
        <v>8.99</v>
      </c>
      <c r="P30" s="19">
        <v>7.99</v>
      </c>
      <c r="Q30">
        <v>9.48</v>
      </c>
      <c r="AB30" s="27">
        <v>16.8</v>
      </c>
      <c r="AC30" s="25">
        <v>25.9</v>
      </c>
      <c r="AD30">
        <f t="shared" si="3"/>
        <v>26.9</v>
      </c>
      <c r="AE30">
        <f t="shared" si="7"/>
        <v>26</v>
      </c>
      <c r="AF30" s="23">
        <f t="shared" si="4"/>
        <v>0.27083333333333331</v>
      </c>
      <c r="AG30">
        <f t="shared" si="5"/>
        <v>1.4297522800024081</v>
      </c>
      <c r="AJ30" s="3" t="s">
        <v>236</v>
      </c>
      <c r="AK30" s="36">
        <f>COUNTIF(P$5:P$109,"&gt;=1.0")-COUNTIF(P$5:P$109,"&gt;1.199")</f>
        <v>5</v>
      </c>
    </row>
    <row r="31" spans="2:39" x14ac:dyDescent="0.35">
      <c r="B31">
        <v>0.47</v>
      </c>
      <c r="C31">
        <v>32.700000000000003</v>
      </c>
      <c r="D31">
        <v>22.1</v>
      </c>
      <c r="L31" s="23">
        <f t="shared" si="0"/>
        <v>0.25714285714285712</v>
      </c>
      <c r="M31">
        <f t="shared" si="6"/>
        <v>27</v>
      </c>
      <c r="N31">
        <f t="shared" si="1"/>
        <v>0.8965262174895553</v>
      </c>
      <c r="O31">
        <f t="shared" si="2"/>
        <v>7.88</v>
      </c>
      <c r="P31" s="19">
        <v>6.88</v>
      </c>
      <c r="Q31">
        <v>0.36</v>
      </c>
      <c r="AB31" s="27">
        <v>22.7</v>
      </c>
      <c r="AC31" s="25">
        <v>25.9</v>
      </c>
      <c r="AD31">
        <f t="shared" si="3"/>
        <v>26.9</v>
      </c>
      <c r="AE31">
        <f t="shared" si="7"/>
        <v>27</v>
      </c>
      <c r="AF31" s="23">
        <f t="shared" si="4"/>
        <v>0.28125</v>
      </c>
      <c r="AG31">
        <f t="shared" si="5"/>
        <v>1.4297522800024081</v>
      </c>
      <c r="AJ31" s="3" t="s">
        <v>237</v>
      </c>
      <c r="AK31" s="36">
        <f>COUNTIF(P$5:P$109,"&gt;=1.2")-COUNTIF(P$5:P$109,"&gt;1.399")</f>
        <v>1</v>
      </c>
    </row>
    <row r="32" spans="2:39" x14ac:dyDescent="0.35">
      <c r="B32">
        <v>9.48</v>
      </c>
      <c r="C32">
        <v>16.8</v>
      </c>
      <c r="D32">
        <v>24.8</v>
      </c>
      <c r="L32" s="23">
        <f t="shared" si="0"/>
        <v>0.26666666666666666</v>
      </c>
      <c r="M32">
        <f t="shared" si="6"/>
        <v>28</v>
      </c>
      <c r="N32">
        <f t="shared" si="1"/>
        <v>0.83821922190762577</v>
      </c>
      <c r="O32">
        <f t="shared" si="2"/>
        <v>6.89</v>
      </c>
      <c r="P32" s="19">
        <v>5.89</v>
      </c>
      <c r="Q32">
        <v>11.9</v>
      </c>
      <c r="AB32" s="27">
        <v>25.9</v>
      </c>
      <c r="AC32" s="25">
        <v>25.3</v>
      </c>
      <c r="AD32">
        <f t="shared" si="3"/>
        <v>26.3</v>
      </c>
      <c r="AE32">
        <f t="shared" si="7"/>
        <v>28</v>
      </c>
      <c r="AF32" s="23">
        <f t="shared" si="4"/>
        <v>0.29166666666666669</v>
      </c>
      <c r="AG32">
        <f t="shared" si="5"/>
        <v>1.4199557484897578</v>
      </c>
      <c r="AJ32" s="3" t="s">
        <v>238</v>
      </c>
      <c r="AK32" s="36">
        <f>COUNTIF(P$5:P$109,"&gt;=1.4")-COUNTIF(P$5:P$109,"&gt;1.599")</f>
        <v>0</v>
      </c>
    </row>
    <row r="33" spans="2:37" x14ac:dyDescent="0.35">
      <c r="B33">
        <v>0.36</v>
      </c>
      <c r="C33">
        <v>22.7</v>
      </c>
      <c r="D33">
        <v>25.9</v>
      </c>
      <c r="L33" s="23">
        <f t="shared" si="0"/>
        <v>0.27619047619047621</v>
      </c>
      <c r="M33">
        <f t="shared" si="6"/>
        <v>29</v>
      </c>
      <c r="N33">
        <f t="shared" si="1"/>
        <v>0.81157500587059339</v>
      </c>
      <c r="O33">
        <f t="shared" si="2"/>
        <v>6.48</v>
      </c>
      <c r="P33" s="19">
        <v>5.48</v>
      </c>
      <c r="Q33">
        <v>0.53</v>
      </c>
      <c r="AB33" s="27">
        <v>13.1</v>
      </c>
      <c r="AC33" s="25">
        <v>24.8</v>
      </c>
      <c r="AD33">
        <f t="shared" si="3"/>
        <v>25.8</v>
      </c>
      <c r="AE33">
        <f t="shared" si="7"/>
        <v>29</v>
      </c>
      <c r="AF33" s="23">
        <f t="shared" si="4"/>
        <v>0.30208333333333331</v>
      </c>
      <c r="AG33">
        <f t="shared" si="5"/>
        <v>1.4116197059632303</v>
      </c>
      <c r="AJ33" s="3" t="s">
        <v>239</v>
      </c>
      <c r="AK33" s="36">
        <f>COUNTIF(P$5:P$109,"&gt;=1.6")-COUNTIF(P$5:P$109,"&gt;1.799")</f>
        <v>1</v>
      </c>
    </row>
    <row r="34" spans="2:37" x14ac:dyDescent="0.35">
      <c r="B34">
        <v>11.9</v>
      </c>
      <c r="C34">
        <v>25.9</v>
      </c>
      <c r="D34">
        <v>21.2</v>
      </c>
      <c r="L34" s="23">
        <f t="shared" si="0"/>
        <v>0.2857142857142857</v>
      </c>
      <c r="M34">
        <f t="shared" si="6"/>
        <v>30</v>
      </c>
      <c r="N34">
        <f t="shared" si="1"/>
        <v>0.80482067872116236</v>
      </c>
      <c r="O34">
        <f t="shared" si="2"/>
        <v>6.38</v>
      </c>
      <c r="P34" s="19">
        <v>5.38</v>
      </c>
      <c r="Q34">
        <v>0.36</v>
      </c>
      <c r="AB34" s="27">
        <v>21.4</v>
      </c>
      <c r="AC34" s="25">
        <v>24.8</v>
      </c>
      <c r="AD34">
        <f t="shared" si="3"/>
        <v>25.8</v>
      </c>
      <c r="AE34">
        <f t="shared" si="7"/>
        <v>30</v>
      </c>
      <c r="AF34" s="23">
        <f t="shared" si="4"/>
        <v>0.3125</v>
      </c>
      <c r="AG34">
        <f t="shared" si="5"/>
        <v>1.4116197059632303</v>
      </c>
      <c r="AJ34" s="3" t="s">
        <v>240</v>
      </c>
      <c r="AK34" s="36">
        <f>COUNTIF(P$5:P$109,"&gt;=1.8")-COUNTIF(P$5:P$109,"&gt;1.999")</f>
        <v>1</v>
      </c>
    </row>
    <row r="35" spans="2:37" x14ac:dyDescent="0.35">
      <c r="B35">
        <v>0.53</v>
      </c>
      <c r="C35">
        <v>13.1</v>
      </c>
      <c r="D35">
        <v>9.5299999999999994</v>
      </c>
      <c r="L35" s="23">
        <f t="shared" si="0"/>
        <v>0.29523809523809524</v>
      </c>
      <c r="M35">
        <f t="shared" si="6"/>
        <v>31</v>
      </c>
      <c r="N35">
        <f t="shared" si="1"/>
        <v>0.78247262416628616</v>
      </c>
      <c r="O35">
        <f t="shared" si="2"/>
        <v>6.06</v>
      </c>
      <c r="P35" s="19">
        <v>5.0599999999999996</v>
      </c>
      <c r="Q35">
        <v>0.27</v>
      </c>
      <c r="AB35" s="27">
        <v>23.5</v>
      </c>
      <c r="AC35" s="25">
        <v>24.2</v>
      </c>
      <c r="AD35">
        <f t="shared" si="3"/>
        <v>25.2</v>
      </c>
      <c r="AE35">
        <f t="shared" si="7"/>
        <v>31</v>
      </c>
      <c r="AF35" s="23">
        <f t="shared" si="4"/>
        <v>0.32291666666666669</v>
      </c>
      <c r="AG35">
        <f t="shared" si="5"/>
        <v>1.4014005407815442</v>
      </c>
      <c r="AJ35" s="3" t="s">
        <v>241</v>
      </c>
      <c r="AK35" s="36">
        <f>COUNTIF(P$5:P$109,"&gt;=2.0")-COUNTIF(P$5:P$109,"&gt;2.199")</f>
        <v>2</v>
      </c>
    </row>
    <row r="36" spans="2:37" x14ac:dyDescent="0.35">
      <c r="B36">
        <v>0.36</v>
      </c>
      <c r="C36">
        <v>21.4</v>
      </c>
      <c r="D36">
        <v>15.7</v>
      </c>
      <c r="L36" s="23">
        <f t="shared" si="0"/>
        <v>0.30476190476190479</v>
      </c>
      <c r="M36">
        <f t="shared" si="6"/>
        <v>32</v>
      </c>
      <c r="N36">
        <f t="shared" si="1"/>
        <v>0.64933485871214192</v>
      </c>
      <c r="O36">
        <f t="shared" si="2"/>
        <v>4.46</v>
      </c>
      <c r="P36" s="19">
        <v>3.46</v>
      </c>
      <c r="Q36">
        <v>0.38</v>
      </c>
      <c r="AB36" s="27">
        <v>23.2</v>
      </c>
      <c r="AC36" s="25">
        <v>24.1</v>
      </c>
      <c r="AD36">
        <f t="shared" si="3"/>
        <v>25.1</v>
      </c>
      <c r="AE36">
        <f t="shared" si="7"/>
        <v>32</v>
      </c>
      <c r="AF36" s="23">
        <f t="shared" si="4"/>
        <v>0.33333333333333331</v>
      </c>
      <c r="AG36">
        <f t="shared" si="5"/>
        <v>1.3996737214810382</v>
      </c>
      <c r="AJ36" s="3" t="s">
        <v>242</v>
      </c>
      <c r="AK36" s="36">
        <f>COUNTIF(P$5:P$109,"&gt;=2.2")-COUNTIF(P$5:P$109,"&gt;2.399")</f>
        <v>0</v>
      </c>
    </row>
    <row r="37" spans="2:37" x14ac:dyDescent="0.35">
      <c r="B37">
        <v>0.27</v>
      </c>
      <c r="C37">
        <v>23.5</v>
      </c>
      <c r="D37">
        <v>21.2</v>
      </c>
      <c r="L37" s="23">
        <f t="shared" si="0"/>
        <v>0.31428571428571428</v>
      </c>
      <c r="M37">
        <f t="shared" si="6"/>
        <v>33</v>
      </c>
      <c r="N37">
        <f t="shared" si="1"/>
        <v>0.60852603357719415</v>
      </c>
      <c r="O37">
        <f t="shared" si="2"/>
        <v>4.0600000000000005</v>
      </c>
      <c r="P37" s="19">
        <v>3.06</v>
      </c>
      <c r="Q37">
        <v>0.65</v>
      </c>
      <c r="AB37" s="27">
        <v>13.3</v>
      </c>
      <c r="AC37" s="25">
        <v>23.5</v>
      </c>
      <c r="AD37">
        <f t="shared" si="3"/>
        <v>24.5</v>
      </c>
      <c r="AE37">
        <f t="shared" si="7"/>
        <v>33</v>
      </c>
      <c r="AF37" s="23">
        <f t="shared" si="4"/>
        <v>0.34375</v>
      </c>
      <c r="AG37">
        <f t="shared" si="5"/>
        <v>1.3891660843645324</v>
      </c>
      <c r="AJ37" s="3" t="s">
        <v>243</v>
      </c>
      <c r="AK37" s="36">
        <f>COUNTIF(P$5:P$109,"&gt;=2.4")-COUNTIF(P$5:P$109,"&gt;2.599")</f>
        <v>0</v>
      </c>
    </row>
    <row r="38" spans="2:37" x14ac:dyDescent="0.35">
      <c r="B38">
        <v>0.38</v>
      </c>
      <c r="C38">
        <v>23.2</v>
      </c>
      <c r="D38">
        <v>14.3</v>
      </c>
      <c r="L38" s="23">
        <f t="shared" si="0"/>
        <v>0.32380952380952382</v>
      </c>
      <c r="M38">
        <f t="shared" si="6"/>
        <v>34</v>
      </c>
      <c r="N38">
        <f t="shared" si="1"/>
        <v>0.59549622182557416</v>
      </c>
      <c r="O38">
        <f t="shared" si="2"/>
        <v>3.94</v>
      </c>
      <c r="P38" s="19">
        <v>2.94</v>
      </c>
      <c r="Q38">
        <v>2.1</v>
      </c>
      <c r="AB38" s="27">
        <v>13.4</v>
      </c>
      <c r="AC38" s="25">
        <v>23.4</v>
      </c>
      <c r="AD38">
        <f t="shared" si="3"/>
        <v>24.4</v>
      </c>
      <c r="AE38">
        <f t="shared" si="7"/>
        <v>34</v>
      </c>
      <c r="AF38" s="23">
        <f t="shared" si="4"/>
        <v>0.35416666666666669</v>
      </c>
      <c r="AG38">
        <f t="shared" si="5"/>
        <v>1.3873898263387294</v>
      </c>
      <c r="AJ38" s="3" t="s">
        <v>244</v>
      </c>
      <c r="AK38" s="36">
        <f>COUNTIF(P$5:P$109,"&gt;=2.6")-COUNTIF(P$5:P$109,"&gt;2.799")</f>
        <v>1</v>
      </c>
    </row>
    <row r="39" spans="2:37" x14ac:dyDescent="0.35">
      <c r="B39">
        <v>0.65</v>
      </c>
      <c r="C39">
        <v>13.3</v>
      </c>
      <c r="D39">
        <v>28.3</v>
      </c>
      <c r="L39" s="23">
        <f t="shared" si="0"/>
        <v>0.33333333333333331</v>
      </c>
      <c r="M39">
        <f t="shared" si="6"/>
        <v>35</v>
      </c>
      <c r="N39">
        <f t="shared" si="1"/>
        <v>0.56702636615906032</v>
      </c>
      <c r="O39">
        <f t="shared" si="2"/>
        <v>3.69</v>
      </c>
      <c r="P39" s="19">
        <v>2.69</v>
      </c>
      <c r="Q39">
        <v>2.0299999999999998</v>
      </c>
      <c r="AB39" s="27">
        <v>14.2</v>
      </c>
      <c r="AC39" s="25">
        <v>23.2</v>
      </c>
      <c r="AD39">
        <f t="shared" si="3"/>
        <v>24.2</v>
      </c>
      <c r="AE39">
        <f t="shared" si="7"/>
        <v>35</v>
      </c>
      <c r="AF39" s="23">
        <f t="shared" si="4"/>
        <v>0.36458333333333331</v>
      </c>
      <c r="AG39">
        <f t="shared" si="5"/>
        <v>1.3838153659804313</v>
      </c>
      <c r="AJ39" s="3" t="s">
        <v>245</v>
      </c>
      <c r="AK39" s="36">
        <f>COUNTIF(P$5:P$109,"&gt;=2.8")-COUNTIF(P$5:P$109,"&gt;2.999")</f>
        <v>1</v>
      </c>
    </row>
    <row r="40" spans="2:37" x14ac:dyDescent="0.35">
      <c r="B40">
        <v>2.1</v>
      </c>
      <c r="C40">
        <v>13.4</v>
      </c>
      <c r="D40">
        <v>23.4</v>
      </c>
      <c r="L40" s="23">
        <f t="shared" si="0"/>
        <v>0.34285714285714286</v>
      </c>
      <c r="M40">
        <f t="shared" si="6"/>
        <v>36</v>
      </c>
      <c r="N40">
        <f t="shared" si="1"/>
        <v>0.49136169383427269</v>
      </c>
      <c r="O40">
        <f t="shared" si="2"/>
        <v>3.1</v>
      </c>
      <c r="P40" s="19">
        <v>2.1</v>
      </c>
      <c r="Q40">
        <v>0.62</v>
      </c>
      <c r="AB40" s="27">
        <v>13.3</v>
      </c>
      <c r="AC40" s="25">
        <v>23.1</v>
      </c>
      <c r="AD40">
        <f t="shared" si="3"/>
        <v>24.1</v>
      </c>
      <c r="AE40">
        <f t="shared" si="7"/>
        <v>36</v>
      </c>
      <c r="AF40" s="23">
        <f t="shared" si="4"/>
        <v>0.375</v>
      </c>
      <c r="AG40">
        <f t="shared" si="5"/>
        <v>1.3820170425748683</v>
      </c>
      <c r="AJ40" s="3" t="s">
        <v>246</v>
      </c>
      <c r="AK40" s="36">
        <f>COUNTIF(P$5:P$109,"&gt;=3.0")-COUNTIF(P$5:P$109,"&gt;3.199")</f>
        <v>1</v>
      </c>
    </row>
    <row r="41" spans="2:37" x14ac:dyDescent="0.35">
      <c r="B41">
        <v>2.0299999999999998</v>
      </c>
      <c r="C41">
        <v>14.2</v>
      </c>
      <c r="D41">
        <v>20.9</v>
      </c>
      <c r="L41" s="23">
        <f t="shared" si="0"/>
        <v>0.35238095238095241</v>
      </c>
      <c r="M41">
        <f t="shared" si="6"/>
        <v>37</v>
      </c>
      <c r="N41">
        <f t="shared" si="1"/>
        <v>0.48144262850230496</v>
      </c>
      <c r="O41">
        <f t="shared" si="2"/>
        <v>3.03</v>
      </c>
      <c r="P41" s="19">
        <v>2.0299999999999998</v>
      </c>
      <c r="Q41">
        <v>3.46</v>
      </c>
      <c r="AB41" s="27">
        <v>16.5</v>
      </c>
      <c r="AC41" s="25">
        <v>23.1</v>
      </c>
      <c r="AD41">
        <f t="shared" si="3"/>
        <v>24.1</v>
      </c>
      <c r="AE41">
        <f t="shared" si="7"/>
        <v>37</v>
      </c>
      <c r="AF41" s="23">
        <f t="shared" si="4"/>
        <v>0.38541666666666669</v>
      </c>
      <c r="AG41">
        <f t="shared" si="5"/>
        <v>1.3820170425748683</v>
      </c>
      <c r="AJ41" s="3" t="s">
        <v>247</v>
      </c>
      <c r="AK41" s="36">
        <f>COUNTIF(P$5:P$109,"&gt;=3.2")-COUNTIF(P$5:P$109,"&gt;3.399")</f>
        <v>0</v>
      </c>
    </row>
    <row r="42" spans="2:37" x14ac:dyDescent="0.35">
      <c r="B42">
        <v>0.62</v>
      </c>
      <c r="C42">
        <v>13.3</v>
      </c>
      <c r="D42">
        <v>24.2</v>
      </c>
      <c r="L42" s="23">
        <f t="shared" si="0"/>
        <v>0.3619047619047619</v>
      </c>
      <c r="M42">
        <f t="shared" si="6"/>
        <v>38</v>
      </c>
      <c r="N42">
        <f t="shared" si="1"/>
        <v>0.45939248775923086</v>
      </c>
      <c r="O42">
        <f t="shared" si="2"/>
        <v>2.88</v>
      </c>
      <c r="P42" s="19">
        <v>1.88</v>
      </c>
      <c r="Q42">
        <v>1.2</v>
      </c>
      <c r="AB42" s="27">
        <v>18.2</v>
      </c>
      <c r="AC42" s="25">
        <v>22.7</v>
      </c>
      <c r="AD42">
        <f t="shared" si="3"/>
        <v>23.7</v>
      </c>
      <c r="AE42">
        <f t="shared" si="7"/>
        <v>38</v>
      </c>
      <c r="AF42" s="23">
        <f t="shared" si="4"/>
        <v>0.39583333333333331</v>
      </c>
      <c r="AG42">
        <f t="shared" si="5"/>
        <v>1.3747483460101038</v>
      </c>
      <c r="AJ42" s="3" t="s">
        <v>248</v>
      </c>
      <c r="AK42" s="36">
        <f>COUNTIF(P$5:P$109,"&gt;=3.4")-COUNTIF(P$5:P$109,"&gt;3.599")</f>
        <v>1</v>
      </c>
    </row>
    <row r="43" spans="2:37" x14ac:dyDescent="0.35">
      <c r="B43">
        <v>3.46</v>
      </c>
      <c r="C43">
        <v>16.5</v>
      </c>
      <c r="D43">
        <v>10.4</v>
      </c>
      <c r="L43" s="23">
        <f t="shared" si="0"/>
        <v>0.37142857142857144</v>
      </c>
      <c r="M43">
        <f t="shared" si="6"/>
        <v>39</v>
      </c>
      <c r="N43">
        <f t="shared" si="1"/>
        <v>0.43933269383026263</v>
      </c>
      <c r="O43">
        <f t="shared" si="2"/>
        <v>2.75</v>
      </c>
      <c r="P43" s="19">
        <v>1.75</v>
      </c>
      <c r="Q43">
        <v>8.8699999999999992</v>
      </c>
      <c r="AB43" s="27">
        <v>20.3</v>
      </c>
      <c r="AC43" s="25">
        <v>22.6</v>
      </c>
      <c r="AD43">
        <f t="shared" si="3"/>
        <v>23.6</v>
      </c>
      <c r="AE43">
        <f t="shared" si="7"/>
        <v>39</v>
      </c>
      <c r="AF43" s="23">
        <f t="shared" si="4"/>
        <v>0.40625</v>
      </c>
      <c r="AG43">
        <f t="shared" si="5"/>
        <v>1.3729120029701065</v>
      </c>
      <c r="AJ43" s="3" t="s">
        <v>249</v>
      </c>
      <c r="AK43" s="36">
        <f>COUNTIF(P$5:P$109,"&gt;=3.6")-COUNTIF(P$5:P$109,"&gt;3.799")</f>
        <v>0</v>
      </c>
    </row>
    <row r="44" spans="2:37" x14ac:dyDescent="0.35">
      <c r="B44">
        <v>1.2</v>
      </c>
      <c r="D44">
        <v>24.8</v>
      </c>
      <c r="L44" s="23">
        <f t="shared" si="0"/>
        <v>0.38095238095238093</v>
      </c>
      <c r="M44">
        <f t="shared" si="6"/>
        <v>40</v>
      </c>
      <c r="N44">
        <f t="shared" si="1"/>
        <v>0.34242268082220628</v>
      </c>
      <c r="O44">
        <f t="shared" si="2"/>
        <v>2.2000000000000002</v>
      </c>
      <c r="P44" s="19">
        <v>1.2</v>
      </c>
      <c r="Q44">
        <v>0.75</v>
      </c>
      <c r="AB44" s="27">
        <v>8.6199999999999992</v>
      </c>
      <c r="AC44" s="25">
        <v>22.4</v>
      </c>
      <c r="AD44">
        <f t="shared" si="3"/>
        <v>23.4</v>
      </c>
      <c r="AE44">
        <f t="shared" si="7"/>
        <v>40</v>
      </c>
      <c r="AF44" s="23">
        <f t="shared" si="4"/>
        <v>0.41666666666666669</v>
      </c>
      <c r="AG44">
        <f t="shared" si="5"/>
        <v>1.3692158574101427</v>
      </c>
      <c r="AJ44" s="3" t="s">
        <v>250</v>
      </c>
      <c r="AK44" s="36">
        <f>COUNTIF(P$5:P$109,"&gt;=3.8")-COUNTIF(P$5:P$109,"&gt;3.999")</f>
        <v>0</v>
      </c>
    </row>
    <row r="45" spans="2:37" ht="15" x14ac:dyDescent="0.4">
      <c r="B45">
        <v>8.8699999999999992</v>
      </c>
      <c r="C45" s="6">
        <f>SUM(C7:C43)/37</f>
        <v>22.292972972972972</v>
      </c>
      <c r="D45" s="13">
        <v>17</v>
      </c>
      <c r="E45" s="6"/>
      <c r="L45" s="23">
        <f t="shared" si="0"/>
        <v>0.39047619047619048</v>
      </c>
      <c r="M45">
        <f t="shared" si="6"/>
        <v>41</v>
      </c>
      <c r="N45">
        <f t="shared" si="1"/>
        <v>0.34044411484011833</v>
      </c>
      <c r="O45">
        <f t="shared" si="2"/>
        <v>2.19</v>
      </c>
      <c r="P45" s="19">
        <v>1.19</v>
      </c>
      <c r="Q45">
        <v>8.6</v>
      </c>
      <c r="AB45" s="27">
        <v>19.2</v>
      </c>
      <c r="AC45" s="25">
        <v>22.3</v>
      </c>
      <c r="AD45">
        <f t="shared" si="3"/>
        <v>23.3</v>
      </c>
      <c r="AE45">
        <f t="shared" si="7"/>
        <v>41</v>
      </c>
      <c r="AF45" s="23">
        <f t="shared" si="4"/>
        <v>0.42708333333333331</v>
      </c>
      <c r="AG45">
        <f t="shared" si="5"/>
        <v>1.3673559210260189</v>
      </c>
      <c r="AJ45" s="3" t="s">
        <v>251</v>
      </c>
      <c r="AK45" s="36">
        <f>COUNTIF(P$5:P$109,"&gt;=4.0")-COUNTIF(P$5:P$109,"&gt;4.199")</f>
        <v>0</v>
      </c>
    </row>
    <row r="46" spans="2:37" x14ac:dyDescent="0.35">
      <c r="B46">
        <v>0.75</v>
      </c>
      <c r="D46">
        <v>42.6</v>
      </c>
      <c r="L46" s="23">
        <f t="shared" si="0"/>
        <v>0.4</v>
      </c>
      <c r="M46">
        <f t="shared" si="6"/>
        <v>42</v>
      </c>
      <c r="N46">
        <f t="shared" si="1"/>
        <v>0.34044411484011833</v>
      </c>
      <c r="O46">
        <f t="shared" si="2"/>
        <v>2.19</v>
      </c>
      <c r="P46" s="19">
        <v>1.19</v>
      </c>
      <c r="Q46">
        <v>73.400000000000006</v>
      </c>
      <c r="AB46" s="27">
        <v>26.6</v>
      </c>
      <c r="AC46" s="25">
        <v>22.3</v>
      </c>
      <c r="AD46">
        <f t="shared" si="3"/>
        <v>23.3</v>
      </c>
      <c r="AE46">
        <f t="shared" si="7"/>
        <v>42</v>
      </c>
      <c r="AF46" s="23">
        <f t="shared" si="4"/>
        <v>0.4375</v>
      </c>
      <c r="AG46">
        <f t="shared" si="5"/>
        <v>1.3673559210260189</v>
      </c>
      <c r="AJ46" s="3" t="s">
        <v>252</v>
      </c>
      <c r="AK46" s="36">
        <f>COUNTIF(P$5:P$109,"&gt;=4.2")-COUNTIF(P$5:P$109,"&gt;4.399")</f>
        <v>0</v>
      </c>
    </row>
    <row r="47" spans="2:37" x14ac:dyDescent="0.35">
      <c r="B47">
        <v>8.6</v>
      </c>
      <c r="D47">
        <v>22.4</v>
      </c>
      <c r="L47" s="23">
        <f t="shared" si="0"/>
        <v>0.40952380952380951</v>
      </c>
      <c r="M47">
        <f t="shared" si="6"/>
        <v>43</v>
      </c>
      <c r="N47">
        <f t="shared" si="1"/>
        <v>0.3222192947339193</v>
      </c>
      <c r="O47">
        <f t="shared" si="2"/>
        <v>2.1</v>
      </c>
      <c r="P47" s="19">
        <v>1.1000000000000001</v>
      </c>
      <c r="Q47">
        <v>0.48</v>
      </c>
      <c r="AB47" s="27">
        <v>26.6</v>
      </c>
      <c r="AC47" s="25">
        <v>22.2</v>
      </c>
      <c r="AD47">
        <f t="shared" si="3"/>
        <v>23.2</v>
      </c>
      <c r="AE47">
        <f t="shared" si="7"/>
        <v>43</v>
      </c>
      <c r="AF47" s="23">
        <f t="shared" si="4"/>
        <v>0.44791666666666669</v>
      </c>
      <c r="AG47">
        <f t="shared" si="5"/>
        <v>1.3654879848908996</v>
      </c>
      <c r="AJ47" s="3" t="s">
        <v>253</v>
      </c>
      <c r="AK47" s="36">
        <f>COUNTIF(P$5:P$109,"&gt;=4.4")-COUNTIF(P$5:P$109,"&gt;4.599")</f>
        <v>0</v>
      </c>
    </row>
    <row r="48" spans="2:37" x14ac:dyDescent="0.35">
      <c r="B48">
        <v>73.400000000000006</v>
      </c>
      <c r="D48">
        <v>20.7</v>
      </c>
      <c r="L48" s="23">
        <f t="shared" si="0"/>
        <v>0.41904761904761906</v>
      </c>
      <c r="M48">
        <f t="shared" si="6"/>
        <v>44</v>
      </c>
      <c r="N48">
        <f t="shared" si="1"/>
        <v>0.3222192947339193</v>
      </c>
      <c r="O48">
        <f t="shared" si="2"/>
        <v>2.1</v>
      </c>
      <c r="P48" s="19">
        <v>1.1000000000000001</v>
      </c>
      <c r="Q48">
        <v>17.899999999999999</v>
      </c>
      <c r="AB48" s="27">
        <v>21.2</v>
      </c>
      <c r="AC48" s="25">
        <v>22.1</v>
      </c>
      <c r="AD48">
        <f t="shared" si="3"/>
        <v>23.1</v>
      </c>
      <c r="AE48">
        <f t="shared" si="7"/>
        <v>44</v>
      </c>
      <c r="AF48" s="23">
        <f t="shared" si="4"/>
        <v>0.45833333333333331</v>
      </c>
      <c r="AG48">
        <f t="shared" si="5"/>
        <v>1.3636119798921444</v>
      </c>
      <c r="AJ48" s="3" t="s">
        <v>254</v>
      </c>
      <c r="AK48" s="36">
        <f>COUNTIF(P$5:P$109,"&gt;=4.6")-COUNTIF(P$5:P$109,"&gt;4.799")</f>
        <v>0</v>
      </c>
    </row>
    <row r="49" spans="2:37" x14ac:dyDescent="0.35">
      <c r="B49">
        <v>0.48</v>
      </c>
      <c r="D49">
        <v>22.2</v>
      </c>
      <c r="L49" s="23">
        <f t="shared" si="0"/>
        <v>0.42857142857142855</v>
      </c>
      <c r="M49">
        <f t="shared" si="6"/>
        <v>45</v>
      </c>
      <c r="N49">
        <f t="shared" si="1"/>
        <v>0.30319605742048883</v>
      </c>
      <c r="O49">
        <f t="shared" si="2"/>
        <v>2.0099999999999998</v>
      </c>
      <c r="P49" s="19">
        <v>1.01</v>
      </c>
      <c r="Q49">
        <v>10.1</v>
      </c>
      <c r="AB49" s="27">
        <v>40</v>
      </c>
      <c r="AC49" s="25">
        <v>22.1</v>
      </c>
      <c r="AD49">
        <f t="shared" si="3"/>
        <v>23.1</v>
      </c>
      <c r="AE49">
        <f t="shared" si="7"/>
        <v>45</v>
      </c>
      <c r="AF49" s="23">
        <f t="shared" si="4"/>
        <v>0.46875</v>
      </c>
      <c r="AG49">
        <f t="shared" si="5"/>
        <v>1.3636119798921444</v>
      </c>
      <c r="AJ49" s="3" t="s">
        <v>255</v>
      </c>
      <c r="AK49" s="36">
        <f>COUNTIF(P$5:P$109,"&gt;=4.8")-COUNTIF(P$5:P$109,"&gt;4.999")</f>
        <v>0</v>
      </c>
    </row>
    <row r="50" spans="2:37" ht="13.15" x14ac:dyDescent="0.4">
      <c r="B50">
        <v>17.899999999999999</v>
      </c>
      <c r="D50">
        <v>26.3</v>
      </c>
      <c r="L50" s="23">
        <f t="shared" si="0"/>
        <v>0.43809523809523809</v>
      </c>
      <c r="M50">
        <f t="shared" si="6"/>
        <v>46</v>
      </c>
      <c r="N50">
        <f t="shared" si="1"/>
        <v>0.29885307640970665</v>
      </c>
      <c r="O50">
        <f t="shared" si="2"/>
        <v>1.99</v>
      </c>
      <c r="P50" s="19">
        <v>0.99</v>
      </c>
      <c r="Q50">
        <v>0.22</v>
      </c>
      <c r="AB50" s="27">
        <v>29.1</v>
      </c>
      <c r="AC50" s="25">
        <v>22.1</v>
      </c>
      <c r="AD50">
        <f t="shared" si="3"/>
        <v>23.1</v>
      </c>
      <c r="AE50">
        <f t="shared" si="7"/>
        <v>46</v>
      </c>
      <c r="AF50" s="23">
        <f t="shared" si="4"/>
        <v>0.47916666666666669</v>
      </c>
      <c r="AG50">
        <f t="shared" si="5"/>
        <v>1.3636119798921444</v>
      </c>
      <c r="AJ50" s="44" t="s">
        <v>274</v>
      </c>
      <c r="AK50" s="36">
        <f>COUNTIF(P$5:P$109,"&gt;=5")-COUNTIF(P$5:P$109,"&gt;5.999")</f>
        <v>4</v>
      </c>
    </row>
    <row r="51" spans="2:37" ht="13.15" x14ac:dyDescent="0.4">
      <c r="B51">
        <v>10.1</v>
      </c>
      <c r="D51">
        <v>29.7</v>
      </c>
      <c r="L51" s="23">
        <f t="shared" si="0"/>
        <v>0.44761904761904764</v>
      </c>
      <c r="M51">
        <f t="shared" si="6"/>
        <v>47</v>
      </c>
      <c r="N51">
        <f t="shared" si="1"/>
        <v>0.24303804868629444</v>
      </c>
      <c r="O51">
        <f t="shared" si="2"/>
        <v>1.75</v>
      </c>
      <c r="P51" s="30">
        <v>0.75</v>
      </c>
      <c r="Q51">
        <v>0.12</v>
      </c>
      <c r="AB51" s="27">
        <v>14.8</v>
      </c>
      <c r="AC51" s="25">
        <v>22.1</v>
      </c>
      <c r="AD51">
        <f t="shared" si="3"/>
        <v>23.1</v>
      </c>
      <c r="AE51">
        <f t="shared" si="7"/>
        <v>47</v>
      </c>
      <c r="AF51" s="23">
        <f t="shared" si="4"/>
        <v>0.48958333333333331</v>
      </c>
      <c r="AG51">
        <f t="shared" si="5"/>
        <v>1.3636119798921444</v>
      </c>
      <c r="AJ51" s="44" t="s">
        <v>275</v>
      </c>
      <c r="AK51" s="36">
        <f>COUNTIF(P$5:P$109,"&gt;=6")-COUNTIF(P$5:P$109,"&gt;6.999")</f>
        <v>1</v>
      </c>
    </row>
    <row r="52" spans="2:37" ht="13.15" x14ac:dyDescent="0.4">
      <c r="B52">
        <v>0.22</v>
      </c>
      <c r="D52">
        <v>21.2</v>
      </c>
      <c r="L52" s="23">
        <f t="shared" si="0"/>
        <v>0.45714285714285713</v>
      </c>
      <c r="M52">
        <f t="shared" si="6"/>
        <v>48</v>
      </c>
      <c r="N52">
        <f t="shared" si="1"/>
        <v>0.22788670461367352</v>
      </c>
      <c r="O52">
        <f t="shared" si="2"/>
        <v>1.69</v>
      </c>
      <c r="P52" s="30">
        <v>0.69</v>
      </c>
      <c r="Q52">
        <v>8.9499999999999993</v>
      </c>
      <c r="AB52" s="27">
        <v>16.100000000000001</v>
      </c>
      <c r="AC52" s="25">
        <v>22</v>
      </c>
      <c r="AD52">
        <f t="shared" si="3"/>
        <v>23</v>
      </c>
      <c r="AE52">
        <f t="shared" si="7"/>
        <v>48</v>
      </c>
      <c r="AF52" s="23">
        <f t="shared" si="4"/>
        <v>0.5</v>
      </c>
      <c r="AG52">
        <f t="shared" si="5"/>
        <v>1.3617278360175928</v>
      </c>
      <c r="AJ52" s="44" t="s">
        <v>276</v>
      </c>
      <c r="AK52" s="36">
        <f>COUNTIF(P$5:P$109,"&gt;=7")-COUNTIF(P$5:P$109,"&gt;7.999")</f>
        <v>1</v>
      </c>
    </row>
    <row r="53" spans="2:37" ht="13.15" x14ac:dyDescent="0.4">
      <c r="B53">
        <v>0.12</v>
      </c>
      <c r="D53">
        <v>22.3</v>
      </c>
      <c r="L53" s="23">
        <f t="shared" si="0"/>
        <v>0.46666666666666667</v>
      </c>
      <c r="M53">
        <f t="shared" si="6"/>
        <v>49</v>
      </c>
      <c r="N53">
        <f t="shared" si="1"/>
        <v>0.21748394421390627</v>
      </c>
      <c r="O53">
        <f t="shared" si="2"/>
        <v>1.65</v>
      </c>
      <c r="P53" s="30">
        <v>0.65</v>
      </c>
      <c r="Q53">
        <v>5.0599999999999996</v>
      </c>
      <c r="AB53" s="27">
        <v>17.7</v>
      </c>
      <c r="AC53" s="25">
        <v>21.4</v>
      </c>
      <c r="AD53">
        <f t="shared" si="3"/>
        <v>22.4</v>
      </c>
      <c r="AE53">
        <f t="shared" si="7"/>
        <v>49</v>
      </c>
      <c r="AF53" s="23">
        <f t="shared" si="4"/>
        <v>0.51041666666666663</v>
      </c>
      <c r="AG53">
        <f t="shared" si="5"/>
        <v>1.3502480183341627</v>
      </c>
      <c r="AJ53" s="44" t="s">
        <v>277</v>
      </c>
      <c r="AK53" s="36">
        <f>COUNTIF(P$5:P$109,"&gt;=8")-COUNTIF(P$5:P$109,"&gt;8.999")</f>
        <v>3</v>
      </c>
    </row>
    <row r="54" spans="2:37" ht="13.9" x14ac:dyDescent="0.4">
      <c r="B54">
        <v>8.9499999999999993</v>
      </c>
      <c r="D54">
        <v>12.9</v>
      </c>
      <c r="L54" s="23">
        <f t="shared" si="0"/>
        <v>0.47619047619047616</v>
      </c>
      <c r="M54">
        <f t="shared" si="6"/>
        <v>50</v>
      </c>
      <c r="N54">
        <f t="shared" si="1"/>
        <v>0.21484384804769791</v>
      </c>
      <c r="O54">
        <f t="shared" si="2"/>
        <v>1.6400000000000001</v>
      </c>
      <c r="P54" s="30">
        <v>0.64</v>
      </c>
      <c r="Q54">
        <v>6.88</v>
      </c>
      <c r="AB54" s="27">
        <v>16.7</v>
      </c>
      <c r="AC54" s="25">
        <v>21.4</v>
      </c>
      <c r="AD54">
        <f t="shared" si="3"/>
        <v>22.4</v>
      </c>
      <c r="AE54">
        <f t="shared" si="7"/>
        <v>50</v>
      </c>
      <c r="AF54" s="23">
        <f t="shared" si="4"/>
        <v>0.52083333333333337</v>
      </c>
      <c r="AG54">
        <f t="shared" si="5"/>
        <v>1.3502480183341627</v>
      </c>
      <c r="AJ54" s="45" t="s">
        <v>278</v>
      </c>
      <c r="AK54" s="36">
        <f>COUNTIF(P$5:P$109,"&gt;=9.0")-COUNTIF(P$5:P$109,"&gt;9.999")</f>
        <v>3</v>
      </c>
    </row>
    <row r="55" spans="2:37" ht="13.9" x14ac:dyDescent="0.4">
      <c r="B55">
        <v>5.0599999999999996</v>
      </c>
      <c r="D55">
        <v>29.4</v>
      </c>
      <c r="L55" s="23">
        <f t="shared" si="0"/>
        <v>0.48571428571428571</v>
      </c>
      <c r="M55">
        <f t="shared" si="6"/>
        <v>51</v>
      </c>
      <c r="N55">
        <f t="shared" si="1"/>
        <v>0.20951501454263097</v>
      </c>
      <c r="O55">
        <f t="shared" si="2"/>
        <v>1.62</v>
      </c>
      <c r="P55" s="30">
        <v>0.62</v>
      </c>
      <c r="Q55">
        <v>0.14000000000000001</v>
      </c>
      <c r="AB55" s="27">
        <v>31.7</v>
      </c>
      <c r="AC55" s="25">
        <v>21.2</v>
      </c>
      <c r="AD55">
        <f t="shared" si="3"/>
        <v>22.2</v>
      </c>
      <c r="AE55">
        <f t="shared" si="7"/>
        <v>51</v>
      </c>
      <c r="AF55" s="23">
        <f t="shared" si="4"/>
        <v>0.53125</v>
      </c>
      <c r="AG55">
        <f t="shared" si="5"/>
        <v>1.3463529744506386</v>
      </c>
      <c r="AJ55" s="45" t="s">
        <v>220</v>
      </c>
      <c r="AK55" s="36">
        <f>COUNTIF(P$5:P$109,"&gt;=10.0")-COUNTIF(P$5:P$109,"&gt;14.999")</f>
        <v>2</v>
      </c>
    </row>
    <row r="56" spans="2:37" ht="13.9" x14ac:dyDescent="0.4">
      <c r="B56">
        <v>6.88</v>
      </c>
      <c r="D56">
        <v>22.1</v>
      </c>
      <c r="L56" s="23">
        <f t="shared" si="0"/>
        <v>0.49523809523809526</v>
      </c>
      <c r="M56">
        <f t="shared" si="6"/>
        <v>52</v>
      </c>
      <c r="N56">
        <f t="shared" si="1"/>
        <v>0.18469143081759881</v>
      </c>
      <c r="O56">
        <f t="shared" si="2"/>
        <v>1.53</v>
      </c>
      <c r="P56" s="30">
        <v>0.53</v>
      </c>
      <c r="Q56">
        <v>0.14000000000000001</v>
      </c>
      <c r="AB56" s="27">
        <v>31.2</v>
      </c>
      <c r="AC56" s="25">
        <v>21.2</v>
      </c>
      <c r="AD56">
        <f t="shared" si="3"/>
        <v>22.2</v>
      </c>
      <c r="AE56">
        <f t="shared" si="7"/>
        <v>52</v>
      </c>
      <c r="AF56" s="23">
        <f t="shared" si="4"/>
        <v>0.54166666666666663</v>
      </c>
      <c r="AG56">
        <f t="shared" si="5"/>
        <v>1.3463529744506386</v>
      </c>
      <c r="AJ56" s="45" t="s">
        <v>221</v>
      </c>
      <c r="AK56" s="36">
        <f>COUNTIF(P$5:P$109,"&gt;=15.0")-COUNTIF(P$5:P$109,"&gt;19.999")</f>
        <v>3</v>
      </c>
    </row>
    <row r="57" spans="2:37" ht="13.9" x14ac:dyDescent="0.4">
      <c r="B57">
        <v>0.14000000000000001</v>
      </c>
      <c r="D57">
        <v>13.2</v>
      </c>
      <c r="L57" s="23">
        <f t="shared" si="0"/>
        <v>0.50476190476190474</v>
      </c>
      <c r="M57">
        <f t="shared" si="6"/>
        <v>53</v>
      </c>
      <c r="N57">
        <f t="shared" si="1"/>
        <v>0.18469143081759881</v>
      </c>
      <c r="O57">
        <f t="shared" si="2"/>
        <v>1.53</v>
      </c>
      <c r="P57" s="30">
        <v>0.53</v>
      </c>
      <c r="Q57">
        <v>0.19</v>
      </c>
      <c r="AB57" s="27">
        <v>17.7</v>
      </c>
      <c r="AC57" s="25">
        <v>21.2</v>
      </c>
      <c r="AD57">
        <f t="shared" si="3"/>
        <v>22.2</v>
      </c>
      <c r="AE57">
        <f t="shared" si="7"/>
        <v>53</v>
      </c>
      <c r="AF57" s="23">
        <f t="shared" si="4"/>
        <v>0.55208333333333337</v>
      </c>
      <c r="AG57">
        <f t="shared" si="5"/>
        <v>1.3463529744506386</v>
      </c>
      <c r="AJ57" s="45" t="s">
        <v>222</v>
      </c>
      <c r="AK57" s="36">
        <f>COUNTIF(P$5:P$109,"&gt;=20.0")-COUNTIF(P$5:P$109,"&gt;24.999")</f>
        <v>1</v>
      </c>
    </row>
    <row r="58" spans="2:37" ht="13.9" x14ac:dyDescent="0.4">
      <c r="B58">
        <v>0.14000000000000001</v>
      </c>
      <c r="D58">
        <v>12.7</v>
      </c>
      <c r="L58" s="23">
        <f t="shared" si="0"/>
        <v>0.51428571428571423</v>
      </c>
      <c r="M58">
        <f t="shared" si="6"/>
        <v>54</v>
      </c>
      <c r="N58">
        <f t="shared" si="1"/>
        <v>0.17318626841227402</v>
      </c>
      <c r="O58">
        <f t="shared" si="2"/>
        <v>1.49</v>
      </c>
      <c r="P58" s="30">
        <v>0.49</v>
      </c>
      <c r="Q58">
        <v>0.15</v>
      </c>
      <c r="AB58" s="27">
        <v>21.4</v>
      </c>
      <c r="AC58" s="25">
        <v>21.2</v>
      </c>
      <c r="AD58">
        <f t="shared" si="3"/>
        <v>22.2</v>
      </c>
      <c r="AE58">
        <f t="shared" si="7"/>
        <v>54</v>
      </c>
      <c r="AF58" s="23">
        <f t="shared" si="4"/>
        <v>0.5625</v>
      </c>
      <c r="AG58">
        <f t="shared" si="5"/>
        <v>1.3463529744506386</v>
      </c>
      <c r="AJ58" s="45" t="s">
        <v>223</v>
      </c>
      <c r="AK58" s="36">
        <f>COUNTIF(P$5:P$109,"&gt;=25.0")-COUNTIF(P$5:P$109,"&gt;29.999")</f>
        <v>2</v>
      </c>
    </row>
    <row r="59" spans="2:37" ht="13.9" x14ac:dyDescent="0.4">
      <c r="B59">
        <v>0.19</v>
      </c>
      <c r="D59">
        <v>12.5</v>
      </c>
      <c r="L59" s="23">
        <f t="shared" si="0"/>
        <v>0.52380952380952384</v>
      </c>
      <c r="M59">
        <f t="shared" si="6"/>
        <v>55</v>
      </c>
      <c r="N59">
        <f t="shared" si="1"/>
        <v>0.17026171539495738</v>
      </c>
      <c r="O59">
        <f t="shared" si="2"/>
        <v>1.48</v>
      </c>
      <c r="P59" s="30">
        <v>0.48</v>
      </c>
      <c r="Q59">
        <v>0.69</v>
      </c>
      <c r="AB59" s="27">
        <v>22.6</v>
      </c>
      <c r="AC59" s="25">
        <v>20.9</v>
      </c>
      <c r="AD59">
        <f t="shared" si="3"/>
        <v>21.9</v>
      </c>
      <c r="AE59">
        <f t="shared" si="7"/>
        <v>55</v>
      </c>
      <c r="AF59" s="23">
        <f t="shared" si="4"/>
        <v>0.57291666666666663</v>
      </c>
      <c r="AG59">
        <f t="shared" si="5"/>
        <v>1.3404441148401183</v>
      </c>
      <c r="AJ59" s="45" t="s">
        <v>224</v>
      </c>
      <c r="AK59" s="36">
        <f>COUNTIF(P$5:P$109,"&gt;=30.0")-COUNTIF(P$5:P$109,"&gt;34.999")</f>
        <v>1</v>
      </c>
    </row>
    <row r="60" spans="2:37" ht="13.9" x14ac:dyDescent="0.4">
      <c r="B60">
        <v>0.15</v>
      </c>
      <c r="D60">
        <v>11.4</v>
      </c>
      <c r="L60" s="23">
        <f t="shared" si="0"/>
        <v>0.53333333333333333</v>
      </c>
      <c r="M60">
        <f t="shared" si="6"/>
        <v>56</v>
      </c>
      <c r="N60">
        <f t="shared" si="1"/>
        <v>0.17026171539495738</v>
      </c>
      <c r="O60">
        <f t="shared" si="2"/>
        <v>1.48</v>
      </c>
      <c r="P60" s="30">
        <v>0.48</v>
      </c>
      <c r="Q60">
        <v>0.24</v>
      </c>
      <c r="AB60" s="27">
        <v>22</v>
      </c>
      <c r="AC60" s="25">
        <v>20.8</v>
      </c>
      <c r="AD60">
        <f t="shared" si="3"/>
        <v>21.8</v>
      </c>
      <c r="AE60">
        <f t="shared" si="7"/>
        <v>56</v>
      </c>
      <c r="AF60" s="23">
        <f t="shared" si="4"/>
        <v>0.58333333333333337</v>
      </c>
      <c r="AG60">
        <f t="shared" si="5"/>
        <v>1.3384564936046048</v>
      </c>
      <c r="AJ60" s="45" t="s">
        <v>225</v>
      </c>
      <c r="AK60" s="36">
        <f>COUNTIF(P$5:P$109,"&gt;=35.0")-COUNTIF(P$5:P$109,"&gt;39.999")</f>
        <v>2</v>
      </c>
    </row>
    <row r="61" spans="2:37" ht="13.9" x14ac:dyDescent="0.4">
      <c r="B61">
        <v>0.69</v>
      </c>
      <c r="D61">
        <v>28.1</v>
      </c>
      <c r="L61" s="23">
        <f t="shared" si="0"/>
        <v>0.54285714285714282</v>
      </c>
      <c r="M61">
        <f t="shared" si="6"/>
        <v>57</v>
      </c>
      <c r="N61">
        <f t="shared" si="1"/>
        <v>0.16731733474817609</v>
      </c>
      <c r="O61">
        <f t="shared" si="2"/>
        <v>1.47</v>
      </c>
      <c r="P61" s="30">
        <v>0.47</v>
      </c>
      <c r="Q61">
        <v>1.19</v>
      </c>
      <c r="AB61" s="27">
        <v>26.4</v>
      </c>
      <c r="AC61" s="25">
        <v>20.7</v>
      </c>
      <c r="AD61">
        <f t="shared" si="3"/>
        <v>21.7</v>
      </c>
      <c r="AE61">
        <f t="shared" si="7"/>
        <v>57</v>
      </c>
      <c r="AF61" s="23">
        <f t="shared" si="4"/>
        <v>0.59375</v>
      </c>
      <c r="AG61">
        <f t="shared" si="5"/>
        <v>1.3364597338485296</v>
      </c>
      <c r="AJ61" s="45" t="s">
        <v>226</v>
      </c>
      <c r="AK61" s="36">
        <f>COUNTIF(P$5:P$109,"&gt;=40.0")-COUNTIF(P$5:P$109,"&gt;44.999")</f>
        <v>2</v>
      </c>
    </row>
    <row r="62" spans="2:37" ht="13.9" x14ac:dyDescent="0.4">
      <c r="B62">
        <v>0.24</v>
      </c>
      <c r="D62">
        <v>14</v>
      </c>
      <c r="L62" s="23">
        <f t="shared" si="0"/>
        <v>0.55238095238095242</v>
      </c>
      <c r="M62">
        <f t="shared" si="6"/>
        <v>58</v>
      </c>
      <c r="N62">
        <f t="shared" si="1"/>
        <v>0.15228834438305647</v>
      </c>
      <c r="O62">
        <f t="shared" si="2"/>
        <v>1.42</v>
      </c>
      <c r="P62" s="30">
        <v>0.42</v>
      </c>
      <c r="Q62">
        <v>0.21</v>
      </c>
      <c r="AB62" s="27">
        <v>23.1</v>
      </c>
      <c r="AC62" s="25">
        <v>20.3</v>
      </c>
      <c r="AD62">
        <f t="shared" si="3"/>
        <v>21.3</v>
      </c>
      <c r="AE62">
        <f t="shared" si="7"/>
        <v>58</v>
      </c>
      <c r="AF62" s="23">
        <f t="shared" si="4"/>
        <v>0.60416666666666663</v>
      </c>
      <c r="AG62">
        <f t="shared" si="5"/>
        <v>1.3283796034387378</v>
      </c>
      <c r="AJ62" s="45" t="s">
        <v>227</v>
      </c>
      <c r="AK62" s="36">
        <f>COUNTIF(P$5:P$109,"&gt;=45.0")-COUNTIF(P$5:P$109,"&gt;49.999")</f>
        <v>2</v>
      </c>
    </row>
    <row r="63" spans="2:37" ht="13.9" x14ac:dyDescent="0.4">
      <c r="B63">
        <v>1.19</v>
      </c>
      <c r="D63">
        <v>20.3</v>
      </c>
      <c r="L63" s="23">
        <f t="shared" si="0"/>
        <v>0.56190476190476191</v>
      </c>
      <c r="M63">
        <f t="shared" si="6"/>
        <v>59</v>
      </c>
      <c r="N63">
        <f t="shared" si="1"/>
        <v>0.15228834438305647</v>
      </c>
      <c r="O63">
        <f t="shared" si="2"/>
        <v>1.42</v>
      </c>
      <c r="P63" s="30">
        <v>0.42</v>
      </c>
      <c r="Q63">
        <v>1.1000000000000001</v>
      </c>
      <c r="AB63" s="27">
        <v>32.799999999999997</v>
      </c>
      <c r="AC63" s="25">
        <v>20.3</v>
      </c>
      <c r="AD63">
        <f t="shared" si="3"/>
        <v>21.3</v>
      </c>
      <c r="AE63">
        <f t="shared" si="7"/>
        <v>59</v>
      </c>
      <c r="AF63" s="23">
        <f t="shared" si="4"/>
        <v>0.61458333333333337</v>
      </c>
      <c r="AG63">
        <f t="shared" si="5"/>
        <v>1.3283796034387378</v>
      </c>
      <c r="AJ63" s="45" t="s">
        <v>256</v>
      </c>
      <c r="AK63" s="36">
        <f>COUNTIF(P$5:P$109,"&gt;=50.0")</f>
        <v>4</v>
      </c>
    </row>
    <row r="64" spans="2:37" x14ac:dyDescent="0.35">
      <c r="B64">
        <v>0.21</v>
      </c>
      <c r="D64">
        <v>29.4</v>
      </c>
      <c r="L64" s="23">
        <f t="shared" si="0"/>
        <v>0.5714285714285714</v>
      </c>
      <c r="M64">
        <f t="shared" si="6"/>
        <v>60</v>
      </c>
      <c r="N64">
        <f t="shared" si="1"/>
        <v>0.13987908640123647</v>
      </c>
      <c r="O64">
        <f t="shared" si="2"/>
        <v>1.38</v>
      </c>
      <c r="P64" s="30">
        <v>0.38</v>
      </c>
      <c r="Q64">
        <v>0.3</v>
      </c>
      <c r="AB64" s="27">
        <v>23.1</v>
      </c>
      <c r="AC64" s="25">
        <v>19.600000000000001</v>
      </c>
      <c r="AD64">
        <f t="shared" si="3"/>
        <v>20.6</v>
      </c>
      <c r="AE64">
        <f t="shared" si="7"/>
        <v>60</v>
      </c>
      <c r="AF64" s="23">
        <f t="shared" si="4"/>
        <v>0.625</v>
      </c>
      <c r="AG64">
        <f t="shared" si="5"/>
        <v>1.3138672203691535</v>
      </c>
      <c r="AJ64" s="22"/>
    </row>
    <row r="65" spans="2:36" x14ac:dyDescent="0.35">
      <c r="B65">
        <v>1.1000000000000001</v>
      </c>
      <c r="D65">
        <v>17.8</v>
      </c>
      <c r="L65" s="23">
        <f t="shared" si="0"/>
        <v>0.580952380952381</v>
      </c>
      <c r="M65">
        <f t="shared" si="6"/>
        <v>61</v>
      </c>
      <c r="N65">
        <f t="shared" si="1"/>
        <v>0.13987908640123647</v>
      </c>
      <c r="O65">
        <f t="shared" si="2"/>
        <v>1.38</v>
      </c>
      <c r="P65" s="30">
        <v>0.38</v>
      </c>
      <c r="Q65">
        <v>0.21</v>
      </c>
      <c r="AB65" s="27">
        <v>20.8</v>
      </c>
      <c r="AC65" s="25">
        <v>19.5</v>
      </c>
      <c r="AD65">
        <f t="shared" si="3"/>
        <v>20.5</v>
      </c>
      <c r="AE65">
        <f t="shared" si="7"/>
        <v>61</v>
      </c>
      <c r="AF65" s="23">
        <f t="shared" si="4"/>
        <v>0.63541666666666663</v>
      </c>
      <c r="AG65">
        <f t="shared" si="5"/>
        <v>1.3117538610557542</v>
      </c>
      <c r="AJ65" s="22"/>
    </row>
    <row r="66" spans="2:36" x14ac:dyDescent="0.35">
      <c r="B66">
        <v>0.3</v>
      </c>
      <c r="L66" s="23">
        <f t="shared" si="0"/>
        <v>0.59047619047619049</v>
      </c>
      <c r="M66">
        <f t="shared" si="6"/>
        <v>62</v>
      </c>
      <c r="N66">
        <f t="shared" si="1"/>
        <v>0.13987908640123647</v>
      </c>
      <c r="O66">
        <f t="shared" si="2"/>
        <v>1.38</v>
      </c>
      <c r="P66" s="30">
        <v>0.38</v>
      </c>
      <c r="Q66">
        <v>0.26</v>
      </c>
      <c r="AB66" s="27">
        <v>22.1</v>
      </c>
      <c r="AC66" s="25">
        <v>19.2</v>
      </c>
      <c r="AD66">
        <f t="shared" si="3"/>
        <v>20.2</v>
      </c>
      <c r="AE66">
        <f t="shared" si="7"/>
        <v>62</v>
      </c>
      <c r="AF66" s="23">
        <f t="shared" si="4"/>
        <v>0.64583333333333337</v>
      </c>
      <c r="AG66">
        <f t="shared" si="5"/>
        <v>1.3053513694466237</v>
      </c>
      <c r="AJ66" s="22"/>
    </row>
    <row r="67" spans="2:36" ht="15" x14ac:dyDescent="0.4">
      <c r="B67">
        <v>0.21</v>
      </c>
      <c r="D67" s="6">
        <f>SUM(D7:D65)/59</f>
        <v>21.743220338983051</v>
      </c>
      <c r="L67" s="23">
        <f t="shared" si="0"/>
        <v>0.6</v>
      </c>
      <c r="M67">
        <f t="shared" si="6"/>
        <v>63</v>
      </c>
      <c r="N67">
        <f t="shared" si="1"/>
        <v>0.13672056715640679</v>
      </c>
      <c r="O67">
        <f t="shared" si="2"/>
        <v>1.37</v>
      </c>
      <c r="P67" s="30">
        <v>0.37</v>
      </c>
      <c r="Q67">
        <v>0.22</v>
      </c>
      <c r="AB67" s="27">
        <v>24.8</v>
      </c>
      <c r="AC67" s="25">
        <v>18.600000000000001</v>
      </c>
      <c r="AD67">
        <f t="shared" si="3"/>
        <v>19.600000000000001</v>
      </c>
      <c r="AE67">
        <f t="shared" si="7"/>
        <v>63</v>
      </c>
      <c r="AF67" s="23">
        <f t="shared" si="4"/>
        <v>0.65625</v>
      </c>
      <c r="AG67">
        <f t="shared" si="5"/>
        <v>1.2922560713564761</v>
      </c>
      <c r="AJ67" s="22"/>
    </row>
    <row r="68" spans="2:36" x14ac:dyDescent="0.35">
      <c r="B68">
        <v>0.26</v>
      </c>
      <c r="L68" s="23">
        <f t="shared" si="0"/>
        <v>0.60952380952380958</v>
      </c>
      <c r="M68">
        <f t="shared" si="6"/>
        <v>64</v>
      </c>
      <c r="N68">
        <f t="shared" si="1"/>
        <v>0.13672056715640679</v>
      </c>
      <c r="O68">
        <f t="shared" si="2"/>
        <v>1.37</v>
      </c>
      <c r="P68" s="30">
        <v>0.37</v>
      </c>
      <c r="Q68">
        <v>0.37</v>
      </c>
      <c r="AB68" s="27">
        <v>25.9</v>
      </c>
      <c r="AC68" s="25">
        <v>18.2</v>
      </c>
      <c r="AD68">
        <f t="shared" si="3"/>
        <v>19.2</v>
      </c>
      <c r="AE68">
        <f t="shared" si="7"/>
        <v>64</v>
      </c>
      <c r="AF68" s="23">
        <f t="shared" si="4"/>
        <v>0.66666666666666663</v>
      </c>
      <c r="AG68">
        <f t="shared" si="5"/>
        <v>1.2833012287035497</v>
      </c>
      <c r="AJ68" s="22"/>
    </row>
    <row r="69" spans="2:36" x14ac:dyDescent="0.35">
      <c r="B69">
        <v>0.22</v>
      </c>
      <c r="L69" s="23">
        <f t="shared" si="0"/>
        <v>0.61904761904761907</v>
      </c>
      <c r="M69">
        <f t="shared" si="6"/>
        <v>65</v>
      </c>
      <c r="N69">
        <f t="shared" si="1"/>
        <v>0.13353890837021748</v>
      </c>
      <c r="O69">
        <f t="shared" si="2"/>
        <v>1.3599999999999999</v>
      </c>
      <c r="P69" s="30">
        <v>0.36</v>
      </c>
      <c r="Q69">
        <v>0.42</v>
      </c>
      <c r="AB69" s="27">
        <v>21.2</v>
      </c>
      <c r="AC69" s="25">
        <v>17.8</v>
      </c>
      <c r="AD69">
        <f t="shared" si="3"/>
        <v>18.8</v>
      </c>
      <c r="AE69">
        <f t="shared" si="7"/>
        <v>65</v>
      </c>
      <c r="AF69" s="23">
        <f t="shared" si="4"/>
        <v>0.67708333333333337</v>
      </c>
      <c r="AG69">
        <f t="shared" si="5"/>
        <v>1.2741578492636798</v>
      </c>
      <c r="AJ69" s="22"/>
    </row>
    <row r="70" spans="2:36" x14ac:dyDescent="0.35">
      <c r="B70">
        <v>0.37</v>
      </c>
      <c r="L70" s="23">
        <f t="shared" ref="L70:L109" si="8">M70/105</f>
        <v>0.62857142857142856</v>
      </c>
      <c r="M70">
        <f t="shared" si="6"/>
        <v>66</v>
      </c>
      <c r="N70">
        <f t="shared" ref="N70:N109" si="9">LOG10(O70)</f>
        <v>0.13353890837021748</v>
      </c>
      <c r="O70">
        <f t="shared" ref="O70:O109" si="10">P70+1</f>
        <v>1.3599999999999999</v>
      </c>
      <c r="P70" s="30">
        <v>0.36</v>
      </c>
      <c r="Q70">
        <v>5.38</v>
      </c>
      <c r="AB70" s="27">
        <v>9.5299999999999994</v>
      </c>
      <c r="AC70" s="25">
        <v>17.7</v>
      </c>
      <c r="AD70">
        <f t="shared" ref="AD70:AD100" si="11">AC70+1</f>
        <v>18.7</v>
      </c>
      <c r="AE70">
        <f t="shared" si="7"/>
        <v>66</v>
      </c>
      <c r="AF70" s="23">
        <f t="shared" ref="AF70:AF100" si="12">AE70/96</f>
        <v>0.6875</v>
      </c>
      <c r="AG70">
        <f t="shared" ref="AG70:AG100" si="13">LOG10(AD70)</f>
        <v>1.271841606536499</v>
      </c>
      <c r="AJ70" s="22"/>
    </row>
    <row r="71" spans="2:36" x14ac:dyDescent="0.35">
      <c r="B71">
        <v>0.42</v>
      </c>
      <c r="L71" s="23">
        <f t="shared" si="8"/>
        <v>0.63809523809523805</v>
      </c>
      <c r="M71">
        <f t="shared" ref="M71:M109" si="14">1+M70</f>
        <v>67</v>
      </c>
      <c r="N71">
        <f t="shared" si="9"/>
        <v>0.13353890837021748</v>
      </c>
      <c r="O71">
        <f t="shared" si="10"/>
        <v>1.3599999999999999</v>
      </c>
      <c r="P71" s="30">
        <v>0.36</v>
      </c>
      <c r="Q71">
        <v>9.51</v>
      </c>
      <c r="AB71" s="27">
        <v>15.7</v>
      </c>
      <c r="AC71" s="25">
        <v>17.7</v>
      </c>
      <c r="AD71">
        <f t="shared" si="11"/>
        <v>18.7</v>
      </c>
      <c r="AE71">
        <f t="shared" ref="AE71:AE100" si="15">AE70+1</f>
        <v>67</v>
      </c>
      <c r="AF71" s="23">
        <f t="shared" si="12"/>
        <v>0.69791666666666663</v>
      </c>
      <c r="AG71">
        <f t="shared" si="13"/>
        <v>1.271841606536499</v>
      </c>
      <c r="AJ71" s="22"/>
    </row>
    <row r="72" spans="2:36" x14ac:dyDescent="0.35">
      <c r="B72">
        <v>5.38</v>
      </c>
      <c r="L72" s="23">
        <f t="shared" si="8"/>
        <v>0.64761904761904765</v>
      </c>
      <c r="M72">
        <f t="shared" si="14"/>
        <v>68</v>
      </c>
      <c r="N72">
        <f t="shared" si="9"/>
        <v>0.12057393120584989</v>
      </c>
      <c r="O72">
        <f t="shared" si="10"/>
        <v>1.32</v>
      </c>
      <c r="P72" s="30">
        <v>0.32</v>
      </c>
      <c r="Q72">
        <v>33</v>
      </c>
      <c r="AB72" s="27">
        <v>21.2</v>
      </c>
      <c r="AC72" s="26">
        <v>17</v>
      </c>
      <c r="AD72">
        <f t="shared" si="11"/>
        <v>18</v>
      </c>
      <c r="AE72">
        <f t="shared" si="15"/>
        <v>68</v>
      </c>
      <c r="AF72" s="23">
        <f t="shared" si="12"/>
        <v>0.70833333333333337</v>
      </c>
      <c r="AG72">
        <f t="shared" si="13"/>
        <v>1.255272505103306</v>
      </c>
      <c r="AJ72" s="22"/>
    </row>
    <row r="73" spans="2:36" x14ac:dyDescent="0.35">
      <c r="B73">
        <v>9.51</v>
      </c>
      <c r="L73" s="23">
        <f t="shared" si="8"/>
        <v>0.65714285714285714</v>
      </c>
      <c r="M73">
        <f t="shared" si="14"/>
        <v>69</v>
      </c>
      <c r="N73">
        <f t="shared" si="9"/>
        <v>0.12057393120584989</v>
      </c>
      <c r="O73">
        <f t="shared" si="10"/>
        <v>1.32</v>
      </c>
      <c r="P73" s="30">
        <v>0.32</v>
      </c>
      <c r="Q73">
        <v>48.4</v>
      </c>
      <c r="AB73" s="27">
        <v>14.3</v>
      </c>
      <c r="AC73" s="25">
        <v>16.8</v>
      </c>
      <c r="AD73">
        <f t="shared" si="11"/>
        <v>17.8</v>
      </c>
      <c r="AE73">
        <f t="shared" si="15"/>
        <v>69</v>
      </c>
      <c r="AF73" s="23">
        <f t="shared" si="12"/>
        <v>0.71875</v>
      </c>
      <c r="AG73">
        <f t="shared" si="13"/>
        <v>1.2504200023088941</v>
      </c>
      <c r="AJ73" s="22"/>
    </row>
    <row r="74" spans="2:36" x14ac:dyDescent="0.35">
      <c r="B74">
        <v>33</v>
      </c>
      <c r="L74" s="23">
        <f t="shared" si="8"/>
        <v>0.66666666666666663</v>
      </c>
      <c r="M74">
        <f t="shared" si="14"/>
        <v>70</v>
      </c>
      <c r="N74">
        <f t="shared" si="9"/>
        <v>0.11727129565576427</v>
      </c>
      <c r="O74">
        <f t="shared" si="10"/>
        <v>1.31</v>
      </c>
      <c r="P74" s="30">
        <v>0.31</v>
      </c>
      <c r="Q74">
        <v>21.5</v>
      </c>
      <c r="AB74" s="27">
        <v>28.3</v>
      </c>
      <c r="AC74" s="25">
        <v>16.7</v>
      </c>
      <c r="AD74">
        <f t="shared" si="11"/>
        <v>17.7</v>
      </c>
      <c r="AE74">
        <f t="shared" si="15"/>
        <v>70</v>
      </c>
      <c r="AF74" s="23">
        <f t="shared" si="12"/>
        <v>0.72916666666666663</v>
      </c>
      <c r="AG74">
        <f t="shared" si="13"/>
        <v>1.2479732663618066</v>
      </c>
      <c r="AJ74" s="22"/>
    </row>
    <row r="75" spans="2:36" x14ac:dyDescent="0.35">
      <c r="B75">
        <v>48.4</v>
      </c>
      <c r="L75" s="23">
        <f t="shared" si="8"/>
        <v>0.67619047619047623</v>
      </c>
      <c r="M75">
        <f t="shared" si="14"/>
        <v>71</v>
      </c>
      <c r="N75">
        <f t="shared" si="9"/>
        <v>0.11394335230683679</v>
      </c>
      <c r="O75">
        <f t="shared" si="10"/>
        <v>1.3</v>
      </c>
      <c r="P75" s="30">
        <v>0.3</v>
      </c>
      <c r="Q75">
        <v>41.5</v>
      </c>
      <c r="AB75" s="27">
        <v>23.4</v>
      </c>
      <c r="AC75" s="25">
        <v>16.5</v>
      </c>
      <c r="AD75">
        <f t="shared" si="11"/>
        <v>17.5</v>
      </c>
      <c r="AE75">
        <f t="shared" si="15"/>
        <v>71</v>
      </c>
      <c r="AF75" s="23">
        <f t="shared" si="12"/>
        <v>0.73958333333333337</v>
      </c>
      <c r="AG75">
        <f t="shared" si="13"/>
        <v>1.2430380486862944</v>
      </c>
      <c r="AJ75" s="22"/>
    </row>
    <row r="76" spans="2:36" x14ac:dyDescent="0.35">
      <c r="B76">
        <v>21.5</v>
      </c>
      <c r="L76" s="23">
        <f t="shared" si="8"/>
        <v>0.68571428571428572</v>
      </c>
      <c r="M76">
        <f t="shared" si="14"/>
        <v>72</v>
      </c>
      <c r="N76">
        <f t="shared" si="9"/>
        <v>0.11394335230683679</v>
      </c>
      <c r="O76">
        <f t="shared" si="10"/>
        <v>1.3</v>
      </c>
      <c r="P76" s="30">
        <v>0.3</v>
      </c>
      <c r="Q76">
        <v>0.27</v>
      </c>
      <c r="AB76" s="27">
        <v>20.9</v>
      </c>
      <c r="AC76" s="25">
        <v>16.399999999999999</v>
      </c>
      <c r="AD76">
        <f t="shared" si="11"/>
        <v>17.399999999999999</v>
      </c>
      <c r="AE76">
        <f t="shared" si="15"/>
        <v>72</v>
      </c>
      <c r="AF76" s="23">
        <f t="shared" si="12"/>
        <v>0.75</v>
      </c>
      <c r="AG76">
        <f t="shared" si="13"/>
        <v>1.2405492482825997</v>
      </c>
      <c r="AJ76" s="22"/>
    </row>
    <row r="77" spans="2:36" x14ac:dyDescent="0.35">
      <c r="B77">
        <v>41.5</v>
      </c>
      <c r="L77" s="23">
        <f t="shared" si="8"/>
        <v>0.69523809523809521</v>
      </c>
      <c r="M77">
        <f t="shared" si="14"/>
        <v>73</v>
      </c>
      <c r="N77">
        <f t="shared" si="9"/>
        <v>0.11058971029924898</v>
      </c>
      <c r="O77">
        <f t="shared" si="10"/>
        <v>1.29</v>
      </c>
      <c r="P77" s="30">
        <v>0.28999999999999998</v>
      </c>
      <c r="Q77">
        <v>0.2</v>
      </c>
      <c r="AB77" s="27">
        <v>24.2</v>
      </c>
      <c r="AC77" s="25">
        <v>16.100000000000001</v>
      </c>
      <c r="AD77">
        <f t="shared" si="11"/>
        <v>17.100000000000001</v>
      </c>
      <c r="AE77">
        <f t="shared" si="15"/>
        <v>73</v>
      </c>
      <c r="AF77" s="23">
        <f t="shared" si="12"/>
        <v>0.76041666666666663</v>
      </c>
      <c r="AG77">
        <f t="shared" si="13"/>
        <v>1.2329961103921538</v>
      </c>
      <c r="AJ77" s="22"/>
    </row>
    <row r="78" spans="2:36" x14ac:dyDescent="0.35">
      <c r="B78">
        <v>0.27</v>
      </c>
      <c r="L78" s="23">
        <f t="shared" si="8"/>
        <v>0.70476190476190481</v>
      </c>
      <c r="M78">
        <f t="shared" si="14"/>
        <v>74</v>
      </c>
      <c r="N78">
        <f t="shared" si="9"/>
        <v>0.10720996964786837</v>
      </c>
      <c r="O78">
        <f t="shared" si="10"/>
        <v>1.28</v>
      </c>
      <c r="P78" s="30">
        <v>0.28000000000000003</v>
      </c>
      <c r="Q78">
        <v>0.23</v>
      </c>
      <c r="AB78" s="27">
        <v>10.4</v>
      </c>
      <c r="AC78" s="25">
        <v>15.7</v>
      </c>
      <c r="AD78">
        <f t="shared" si="11"/>
        <v>16.7</v>
      </c>
      <c r="AE78">
        <f t="shared" si="15"/>
        <v>74</v>
      </c>
      <c r="AF78" s="23">
        <f t="shared" si="12"/>
        <v>0.77083333333333337</v>
      </c>
      <c r="AG78">
        <f t="shared" si="13"/>
        <v>1.2227164711475833</v>
      </c>
      <c r="AJ78" s="22"/>
    </row>
    <row r="79" spans="2:36" x14ac:dyDescent="0.35">
      <c r="B79">
        <v>0.2</v>
      </c>
      <c r="L79" s="23">
        <f t="shared" si="8"/>
        <v>0.7142857142857143</v>
      </c>
      <c r="M79">
        <f t="shared" si="14"/>
        <v>75</v>
      </c>
      <c r="N79">
        <f t="shared" si="9"/>
        <v>0.10380372095595687</v>
      </c>
      <c r="O79">
        <f t="shared" si="10"/>
        <v>1.27</v>
      </c>
      <c r="P79" s="30">
        <v>0.27</v>
      </c>
      <c r="Q79">
        <v>0.25</v>
      </c>
      <c r="AB79" s="27">
        <v>24.8</v>
      </c>
      <c r="AC79" s="25">
        <v>14.8</v>
      </c>
      <c r="AD79">
        <f t="shared" si="11"/>
        <v>15.8</v>
      </c>
      <c r="AE79">
        <f t="shared" si="15"/>
        <v>75</v>
      </c>
      <c r="AF79" s="23">
        <f t="shared" si="12"/>
        <v>0.78125</v>
      </c>
      <c r="AG79">
        <f t="shared" si="13"/>
        <v>1.1986570869544226</v>
      </c>
      <c r="AJ79" s="22"/>
    </row>
    <row r="80" spans="2:36" x14ac:dyDescent="0.35">
      <c r="B80">
        <v>0.23</v>
      </c>
      <c r="L80" s="23">
        <f t="shared" si="8"/>
        <v>0.72380952380952379</v>
      </c>
      <c r="M80">
        <f t="shared" si="14"/>
        <v>76</v>
      </c>
      <c r="N80">
        <f t="shared" si="9"/>
        <v>0.10380372095595687</v>
      </c>
      <c r="O80">
        <f t="shared" si="10"/>
        <v>1.27</v>
      </c>
      <c r="P80" s="30">
        <v>0.27</v>
      </c>
      <c r="Q80">
        <v>0.22</v>
      </c>
      <c r="AB80" s="28">
        <v>17</v>
      </c>
      <c r="AC80" s="25">
        <v>14.3</v>
      </c>
      <c r="AD80">
        <f t="shared" si="11"/>
        <v>15.3</v>
      </c>
      <c r="AE80">
        <f t="shared" si="15"/>
        <v>76</v>
      </c>
      <c r="AF80" s="23">
        <f t="shared" si="12"/>
        <v>0.79166666666666663</v>
      </c>
      <c r="AG80">
        <f t="shared" si="13"/>
        <v>1.1846914308175989</v>
      </c>
      <c r="AJ80" s="22"/>
    </row>
    <row r="81" spans="2:36" x14ac:dyDescent="0.35">
      <c r="B81">
        <v>0.25</v>
      </c>
      <c r="L81" s="23">
        <f t="shared" si="8"/>
        <v>0.73333333333333328</v>
      </c>
      <c r="M81">
        <f t="shared" si="14"/>
        <v>77</v>
      </c>
      <c r="N81">
        <f t="shared" si="9"/>
        <v>0.10380372095595687</v>
      </c>
      <c r="O81">
        <f t="shared" si="10"/>
        <v>1.27</v>
      </c>
      <c r="P81" s="30">
        <v>0.27</v>
      </c>
      <c r="Q81">
        <v>68.900000000000006</v>
      </c>
      <c r="AB81" s="27">
        <v>42.6</v>
      </c>
      <c r="AC81" s="25">
        <v>14.2</v>
      </c>
      <c r="AD81">
        <f t="shared" si="11"/>
        <v>15.2</v>
      </c>
      <c r="AE81">
        <f t="shared" si="15"/>
        <v>77</v>
      </c>
      <c r="AF81" s="23">
        <f t="shared" si="12"/>
        <v>0.80208333333333337</v>
      </c>
      <c r="AG81">
        <f t="shared" si="13"/>
        <v>1.1818435879447726</v>
      </c>
      <c r="AJ81" s="22"/>
    </row>
    <row r="82" spans="2:36" x14ac:dyDescent="0.35">
      <c r="B82">
        <v>0.22</v>
      </c>
      <c r="L82" s="23">
        <f t="shared" si="8"/>
        <v>0.74285714285714288</v>
      </c>
      <c r="M82">
        <f t="shared" si="14"/>
        <v>78</v>
      </c>
      <c r="N82">
        <f t="shared" si="9"/>
        <v>0.10037054511756291</v>
      </c>
      <c r="O82">
        <f t="shared" si="10"/>
        <v>1.26</v>
      </c>
      <c r="P82" s="30">
        <v>0.26</v>
      </c>
      <c r="Q82">
        <v>47.4</v>
      </c>
      <c r="AB82" s="27">
        <v>22.4</v>
      </c>
      <c r="AC82" s="25">
        <v>14</v>
      </c>
      <c r="AD82">
        <f t="shared" si="11"/>
        <v>15</v>
      </c>
      <c r="AE82">
        <f t="shared" si="15"/>
        <v>78</v>
      </c>
      <c r="AF82" s="23">
        <f t="shared" si="12"/>
        <v>0.8125</v>
      </c>
      <c r="AG82">
        <f t="shared" si="13"/>
        <v>1.1760912590556813</v>
      </c>
      <c r="AJ82" s="22"/>
    </row>
    <row r="83" spans="2:36" x14ac:dyDescent="0.35">
      <c r="B83">
        <v>68.900000000000006</v>
      </c>
      <c r="L83" s="23">
        <f t="shared" si="8"/>
        <v>0.75238095238095237</v>
      </c>
      <c r="M83">
        <f t="shared" si="14"/>
        <v>79</v>
      </c>
      <c r="N83">
        <f t="shared" si="9"/>
        <v>9.691001300805642E-2</v>
      </c>
      <c r="O83">
        <f t="shared" si="10"/>
        <v>1.25</v>
      </c>
      <c r="P83" s="30">
        <v>0.25</v>
      </c>
      <c r="Q83">
        <v>336</v>
      </c>
      <c r="AB83" s="27">
        <v>20.7</v>
      </c>
      <c r="AC83" s="25">
        <v>13.9</v>
      </c>
      <c r="AD83">
        <f t="shared" si="11"/>
        <v>14.9</v>
      </c>
      <c r="AE83">
        <f t="shared" si="15"/>
        <v>79</v>
      </c>
      <c r="AF83" s="23">
        <f t="shared" si="12"/>
        <v>0.82291666666666663</v>
      </c>
      <c r="AG83">
        <f t="shared" si="13"/>
        <v>1.173186268412274</v>
      </c>
      <c r="AJ83" s="22"/>
    </row>
    <row r="84" spans="2:36" x14ac:dyDescent="0.35">
      <c r="B84">
        <v>47.4</v>
      </c>
      <c r="L84" s="23">
        <f t="shared" si="8"/>
        <v>0.76190476190476186</v>
      </c>
      <c r="M84">
        <f t="shared" si="14"/>
        <v>80</v>
      </c>
      <c r="N84">
        <f t="shared" si="9"/>
        <v>9.3421685162235063E-2</v>
      </c>
      <c r="O84">
        <f t="shared" si="10"/>
        <v>1.24</v>
      </c>
      <c r="P84" s="30">
        <v>0.24</v>
      </c>
      <c r="Q84">
        <v>37.1</v>
      </c>
      <c r="AB84" s="27">
        <v>22.2</v>
      </c>
      <c r="AC84" s="25">
        <v>13.4</v>
      </c>
      <c r="AD84">
        <f t="shared" si="11"/>
        <v>14.4</v>
      </c>
      <c r="AE84">
        <f t="shared" si="15"/>
        <v>80</v>
      </c>
      <c r="AF84" s="23">
        <f t="shared" si="12"/>
        <v>0.83333333333333337</v>
      </c>
      <c r="AG84">
        <f t="shared" si="13"/>
        <v>1.1583624920952498</v>
      </c>
      <c r="AJ84" s="22"/>
    </row>
    <row r="85" spans="2:36" x14ac:dyDescent="0.35">
      <c r="B85">
        <v>336</v>
      </c>
      <c r="L85" s="23">
        <f t="shared" si="8"/>
        <v>0.77142857142857146</v>
      </c>
      <c r="M85">
        <f t="shared" si="14"/>
        <v>81</v>
      </c>
      <c r="N85">
        <f t="shared" si="9"/>
        <v>9.3421685162235063E-2</v>
      </c>
      <c r="O85">
        <f t="shared" si="10"/>
        <v>1.24</v>
      </c>
      <c r="P85" s="30">
        <v>0.24</v>
      </c>
      <c r="Q85">
        <v>81.5</v>
      </c>
      <c r="AB85" s="27">
        <v>26.3</v>
      </c>
      <c r="AC85" s="25">
        <v>13.3</v>
      </c>
      <c r="AD85">
        <f t="shared" si="11"/>
        <v>14.3</v>
      </c>
      <c r="AE85">
        <f t="shared" si="15"/>
        <v>81</v>
      </c>
      <c r="AF85" s="23">
        <f t="shared" si="12"/>
        <v>0.84375</v>
      </c>
      <c r="AG85">
        <f t="shared" si="13"/>
        <v>1.1553360374650619</v>
      </c>
      <c r="AJ85" s="22"/>
    </row>
    <row r="86" spans="2:36" x14ac:dyDescent="0.35">
      <c r="B86">
        <v>37.1</v>
      </c>
      <c r="L86" s="23">
        <f t="shared" si="8"/>
        <v>0.78095238095238095</v>
      </c>
      <c r="M86">
        <f t="shared" si="14"/>
        <v>82</v>
      </c>
      <c r="N86">
        <f t="shared" si="9"/>
        <v>8.9905111439397931E-2</v>
      </c>
      <c r="O86">
        <f t="shared" si="10"/>
        <v>1.23</v>
      </c>
      <c r="P86" s="30">
        <v>0.23</v>
      </c>
      <c r="Q86">
        <v>0.28000000000000003</v>
      </c>
      <c r="AB86" s="27">
        <v>29.7</v>
      </c>
      <c r="AC86" s="25">
        <v>13.3</v>
      </c>
      <c r="AD86">
        <f t="shared" si="11"/>
        <v>14.3</v>
      </c>
      <c r="AE86">
        <f t="shared" si="15"/>
        <v>82</v>
      </c>
      <c r="AF86" s="23">
        <f t="shared" si="12"/>
        <v>0.85416666666666663</v>
      </c>
      <c r="AG86">
        <f t="shared" si="13"/>
        <v>1.1553360374650619</v>
      </c>
      <c r="AJ86" s="22"/>
    </row>
    <row r="87" spans="2:36" x14ac:dyDescent="0.35">
      <c r="B87">
        <v>81.5</v>
      </c>
      <c r="L87" s="23">
        <f t="shared" si="8"/>
        <v>0.79047619047619044</v>
      </c>
      <c r="M87">
        <f t="shared" si="14"/>
        <v>83</v>
      </c>
      <c r="N87">
        <f t="shared" si="9"/>
        <v>8.9905111439397931E-2</v>
      </c>
      <c r="O87">
        <f t="shared" si="10"/>
        <v>1.23</v>
      </c>
      <c r="P87" s="30">
        <v>0.23</v>
      </c>
      <c r="Q87">
        <v>0.3</v>
      </c>
      <c r="AB87" s="27">
        <v>21.2</v>
      </c>
      <c r="AC87" s="25">
        <v>13.2</v>
      </c>
      <c r="AD87">
        <f t="shared" si="11"/>
        <v>14.2</v>
      </c>
      <c r="AE87">
        <f t="shared" si="15"/>
        <v>83</v>
      </c>
      <c r="AF87" s="23">
        <f t="shared" si="12"/>
        <v>0.86458333333333337</v>
      </c>
      <c r="AG87">
        <f t="shared" si="13"/>
        <v>1.1522883443830565</v>
      </c>
      <c r="AJ87" s="22"/>
    </row>
    <row r="88" spans="2:36" x14ac:dyDescent="0.35">
      <c r="B88">
        <v>0.28000000000000003</v>
      </c>
      <c r="L88" s="23">
        <f t="shared" si="8"/>
        <v>0.8</v>
      </c>
      <c r="M88">
        <f t="shared" si="14"/>
        <v>84</v>
      </c>
      <c r="N88">
        <f t="shared" si="9"/>
        <v>8.6359830674748214E-2</v>
      </c>
      <c r="O88">
        <f t="shared" si="10"/>
        <v>1.22</v>
      </c>
      <c r="P88" s="30">
        <v>0.22</v>
      </c>
      <c r="Q88">
        <v>0.38</v>
      </c>
      <c r="AB88" s="27">
        <v>22.3</v>
      </c>
      <c r="AC88" s="25">
        <v>13.1</v>
      </c>
      <c r="AD88">
        <f t="shared" si="11"/>
        <v>14.1</v>
      </c>
      <c r="AE88">
        <f t="shared" si="15"/>
        <v>84</v>
      </c>
      <c r="AF88" s="23">
        <f t="shared" si="12"/>
        <v>0.875</v>
      </c>
      <c r="AG88">
        <f t="shared" si="13"/>
        <v>1.1492191126553799</v>
      </c>
      <c r="AJ88" s="22"/>
    </row>
    <row r="89" spans="2:36" x14ac:dyDescent="0.35">
      <c r="B89">
        <v>0.3</v>
      </c>
      <c r="L89" s="23">
        <f t="shared" si="8"/>
        <v>0.80952380952380953</v>
      </c>
      <c r="M89">
        <f t="shared" si="14"/>
        <v>85</v>
      </c>
      <c r="N89">
        <f t="shared" si="9"/>
        <v>8.6359830674748214E-2</v>
      </c>
      <c r="O89">
        <f t="shared" si="10"/>
        <v>1.22</v>
      </c>
      <c r="P89" s="30">
        <v>0.22</v>
      </c>
      <c r="Q89">
        <v>0.24</v>
      </c>
      <c r="AB89" s="27">
        <v>12.9</v>
      </c>
      <c r="AC89" s="25">
        <v>12.9</v>
      </c>
      <c r="AD89">
        <f t="shared" si="11"/>
        <v>13.9</v>
      </c>
      <c r="AE89">
        <f t="shared" si="15"/>
        <v>85</v>
      </c>
      <c r="AF89" s="23">
        <f t="shared" si="12"/>
        <v>0.88541666666666663</v>
      </c>
      <c r="AG89">
        <f t="shared" si="13"/>
        <v>1.1430148002540952</v>
      </c>
      <c r="AJ89" s="22"/>
    </row>
    <row r="90" spans="2:36" x14ac:dyDescent="0.35">
      <c r="B90">
        <v>0.38</v>
      </c>
      <c r="L90" s="23">
        <f t="shared" si="8"/>
        <v>0.81904761904761902</v>
      </c>
      <c r="M90">
        <f t="shared" si="14"/>
        <v>86</v>
      </c>
      <c r="N90">
        <f t="shared" si="9"/>
        <v>8.6359830674748214E-2</v>
      </c>
      <c r="O90">
        <f t="shared" si="10"/>
        <v>1.22</v>
      </c>
      <c r="P90" s="30">
        <v>0.22</v>
      </c>
      <c r="Q90">
        <v>0.22</v>
      </c>
      <c r="AB90" s="27">
        <v>29.4</v>
      </c>
      <c r="AC90" s="25">
        <v>12.7</v>
      </c>
      <c r="AD90">
        <f t="shared" si="11"/>
        <v>13.7</v>
      </c>
      <c r="AE90">
        <f t="shared" si="15"/>
        <v>86</v>
      </c>
      <c r="AF90" s="23">
        <f t="shared" si="12"/>
        <v>0.89583333333333337</v>
      </c>
      <c r="AG90">
        <f t="shared" si="13"/>
        <v>1.1367205671564067</v>
      </c>
      <c r="AJ90" s="22"/>
    </row>
    <row r="91" spans="2:36" x14ac:dyDescent="0.35">
      <c r="B91">
        <v>0.24</v>
      </c>
      <c r="L91" s="23">
        <f t="shared" si="8"/>
        <v>0.82857142857142863</v>
      </c>
      <c r="M91">
        <f t="shared" si="14"/>
        <v>87</v>
      </c>
      <c r="N91">
        <f t="shared" si="9"/>
        <v>8.6359830674748214E-2</v>
      </c>
      <c r="O91">
        <f t="shared" si="10"/>
        <v>1.22</v>
      </c>
      <c r="P91" s="30">
        <v>0.22</v>
      </c>
      <c r="Q91">
        <v>0.19</v>
      </c>
      <c r="AB91">
        <v>22.1</v>
      </c>
      <c r="AC91" s="25">
        <v>12.5</v>
      </c>
      <c r="AD91">
        <f t="shared" si="11"/>
        <v>13.5</v>
      </c>
      <c r="AE91">
        <f t="shared" si="15"/>
        <v>87</v>
      </c>
      <c r="AF91" s="23">
        <f t="shared" si="12"/>
        <v>0.90625</v>
      </c>
      <c r="AG91">
        <f t="shared" si="13"/>
        <v>1.1303337684950061</v>
      </c>
      <c r="AJ91" s="22"/>
    </row>
    <row r="92" spans="2:36" x14ac:dyDescent="0.35">
      <c r="B92">
        <v>0.22</v>
      </c>
      <c r="L92" s="23">
        <f t="shared" si="8"/>
        <v>0.83809523809523812</v>
      </c>
      <c r="M92">
        <f t="shared" si="14"/>
        <v>88</v>
      </c>
      <c r="N92">
        <f t="shared" si="9"/>
        <v>8.2785370316450071E-2</v>
      </c>
      <c r="O92">
        <f t="shared" si="10"/>
        <v>1.21</v>
      </c>
      <c r="P92" s="30">
        <v>0.21</v>
      </c>
      <c r="Q92">
        <v>0.2</v>
      </c>
      <c r="AB92">
        <v>13.2</v>
      </c>
      <c r="AC92" s="25">
        <v>12.2</v>
      </c>
      <c r="AD92">
        <f t="shared" si="11"/>
        <v>13.2</v>
      </c>
      <c r="AE92">
        <f t="shared" si="15"/>
        <v>88</v>
      </c>
      <c r="AF92" s="23">
        <f t="shared" si="12"/>
        <v>0.91666666666666663</v>
      </c>
      <c r="AG92">
        <f t="shared" si="13"/>
        <v>1.1205739312058498</v>
      </c>
      <c r="AJ92" s="22"/>
    </row>
    <row r="93" spans="2:36" x14ac:dyDescent="0.35">
      <c r="B93">
        <v>0.19</v>
      </c>
      <c r="L93" s="23">
        <f t="shared" si="8"/>
        <v>0.84761904761904761</v>
      </c>
      <c r="M93">
        <f t="shared" si="14"/>
        <v>89</v>
      </c>
      <c r="N93">
        <f t="shared" si="9"/>
        <v>8.2785370316450071E-2</v>
      </c>
      <c r="O93">
        <f t="shared" si="10"/>
        <v>1.21</v>
      </c>
      <c r="P93" s="30">
        <v>0.21</v>
      </c>
      <c r="Q93">
        <v>0.21</v>
      </c>
      <c r="AB93">
        <v>12.7</v>
      </c>
      <c r="AC93">
        <v>11.4</v>
      </c>
      <c r="AD93">
        <f t="shared" si="11"/>
        <v>12.4</v>
      </c>
      <c r="AE93">
        <f t="shared" si="15"/>
        <v>89</v>
      </c>
      <c r="AF93" s="23">
        <f t="shared" si="12"/>
        <v>0.92708333333333337</v>
      </c>
      <c r="AG93">
        <f t="shared" si="13"/>
        <v>1.0934216851622351</v>
      </c>
      <c r="AJ93" s="22"/>
    </row>
    <row r="94" spans="2:36" x14ac:dyDescent="0.35">
      <c r="B94">
        <v>0.2</v>
      </c>
      <c r="L94" s="23">
        <f t="shared" si="8"/>
        <v>0.8571428571428571</v>
      </c>
      <c r="M94">
        <f t="shared" si="14"/>
        <v>90</v>
      </c>
      <c r="N94">
        <f t="shared" si="9"/>
        <v>8.2785370316450071E-2</v>
      </c>
      <c r="O94">
        <f t="shared" si="10"/>
        <v>1.21</v>
      </c>
      <c r="P94" s="30">
        <v>0.21</v>
      </c>
      <c r="Q94">
        <v>0.36</v>
      </c>
      <c r="AB94">
        <v>12.5</v>
      </c>
      <c r="AC94">
        <v>10.4</v>
      </c>
      <c r="AD94">
        <f t="shared" si="11"/>
        <v>11.4</v>
      </c>
      <c r="AE94">
        <f t="shared" si="15"/>
        <v>90</v>
      </c>
      <c r="AF94" s="23">
        <f t="shared" si="12"/>
        <v>0.9375</v>
      </c>
      <c r="AG94">
        <f t="shared" si="13"/>
        <v>1.0569048513364727</v>
      </c>
      <c r="AJ94" s="22"/>
    </row>
    <row r="95" spans="2:36" x14ac:dyDescent="0.35">
      <c r="B95">
        <v>0.21</v>
      </c>
      <c r="L95" s="23">
        <f t="shared" si="8"/>
        <v>0.8666666666666667</v>
      </c>
      <c r="M95">
        <f t="shared" si="14"/>
        <v>91</v>
      </c>
      <c r="N95">
        <f t="shared" si="9"/>
        <v>7.9181246047624818E-2</v>
      </c>
      <c r="O95">
        <f t="shared" si="10"/>
        <v>1.2</v>
      </c>
      <c r="P95" s="30">
        <v>0.2</v>
      </c>
      <c r="Q95">
        <v>0.31</v>
      </c>
      <c r="AB95">
        <v>11.4</v>
      </c>
      <c r="AC95">
        <v>9.5299999999999994</v>
      </c>
      <c r="AD95">
        <f t="shared" si="11"/>
        <v>10.53</v>
      </c>
      <c r="AE95">
        <f t="shared" si="15"/>
        <v>91</v>
      </c>
      <c r="AF95" s="23">
        <f t="shared" si="12"/>
        <v>0.94791666666666663</v>
      </c>
      <c r="AG95">
        <f t="shared" si="13"/>
        <v>1.0224283711854865</v>
      </c>
      <c r="AJ95" s="22"/>
    </row>
    <row r="96" spans="2:36" x14ac:dyDescent="0.35">
      <c r="B96">
        <v>0.36</v>
      </c>
      <c r="L96" s="23">
        <f t="shared" si="8"/>
        <v>0.87619047619047619</v>
      </c>
      <c r="M96">
        <f t="shared" si="14"/>
        <v>92</v>
      </c>
      <c r="N96">
        <f t="shared" si="9"/>
        <v>7.9181246047624818E-2</v>
      </c>
      <c r="O96">
        <f t="shared" si="10"/>
        <v>1.2</v>
      </c>
      <c r="P96" s="30">
        <v>0.2</v>
      </c>
      <c r="Q96">
        <v>0.32</v>
      </c>
      <c r="AB96">
        <v>28.1</v>
      </c>
      <c r="AC96">
        <v>9.01</v>
      </c>
      <c r="AD96">
        <f t="shared" si="11"/>
        <v>10.01</v>
      </c>
      <c r="AE96">
        <f t="shared" si="15"/>
        <v>92</v>
      </c>
      <c r="AF96" s="23">
        <f t="shared" si="12"/>
        <v>0.95833333333333337</v>
      </c>
      <c r="AG96">
        <f t="shared" si="13"/>
        <v>1.0004340774793186</v>
      </c>
      <c r="AJ96" s="22"/>
    </row>
    <row r="97" spans="2:33" x14ac:dyDescent="0.35">
      <c r="B97">
        <v>0.31</v>
      </c>
      <c r="L97" s="23">
        <f t="shared" si="8"/>
        <v>0.88571428571428568</v>
      </c>
      <c r="M97">
        <f t="shared" si="14"/>
        <v>93</v>
      </c>
      <c r="N97">
        <f t="shared" si="9"/>
        <v>7.554696139253074E-2</v>
      </c>
      <c r="O97">
        <f t="shared" si="10"/>
        <v>1.19</v>
      </c>
      <c r="P97" s="30">
        <v>0.19</v>
      </c>
      <c r="Q97">
        <v>0.38</v>
      </c>
      <c r="AB97">
        <v>14</v>
      </c>
      <c r="AC97">
        <v>8.6199999999999992</v>
      </c>
      <c r="AD97">
        <f t="shared" si="11"/>
        <v>9.6199999999999992</v>
      </c>
      <c r="AE97">
        <f t="shared" si="15"/>
        <v>93</v>
      </c>
      <c r="AF97" s="23">
        <f t="shared" si="12"/>
        <v>0.96875</v>
      </c>
      <c r="AG97">
        <f t="shared" si="13"/>
        <v>0.98317507203781296</v>
      </c>
    </row>
    <row r="98" spans="2:33" x14ac:dyDescent="0.35">
      <c r="B98">
        <v>0.32</v>
      </c>
      <c r="L98" s="23">
        <f t="shared" si="8"/>
        <v>0.89523809523809528</v>
      </c>
      <c r="M98">
        <f t="shared" si="14"/>
        <v>94</v>
      </c>
      <c r="N98">
        <f t="shared" si="9"/>
        <v>7.554696139253074E-2</v>
      </c>
      <c r="O98">
        <f t="shared" si="10"/>
        <v>1.19</v>
      </c>
      <c r="P98" s="30">
        <v>0.19</v>
      </c>
      <c r="Q98">
        <v>0.27</v>
      </c>
      <c r="AB98">
        <v>20.3</v>
      </c>
      <c r="AC98">
        <v>5.79</v>
      </c>
      <c r="AD98">
        <f t="shared" si="11"/>
        <v>6.79</v>
      </c>
      <c r="AE98">
        <f t="shared" si="15"/>
        <v>94</v>
      </c>
      <c r="AF98" s="23">
        <f t="shared" si="12"/>
        <v>0.97916666666666663</v>
      </c>
      <c r="AG98">
        <f t="shared" si="13"/>
        <v>0.83186977428050168</v>
      </c>
    </row>
    <row r="99" spans="2:33" x14ac:dyDescent="0.35">
      <c r="B99">
        <v>0.38</v>
      </c>
      <c r="L99" s="23">
        <f t="shared" si="8"/>
        <v>0.90476190476190477</v>
      </c>
      <c r="M99">
        <f t="shared" si="14"/>
        <v>95</v>
      </c>
      <c r="N99">
        <f t="shared" si="9"/>
        <v>7.554696139253074E-2</v>
      </c>
      <c r="O99">
        <f t="shared" si="10"/>
        <v>1.19</v>
      </c>
      <c r="P99" s="30">
        <v>0.19</v>
      </c>
      <c r="Q99">
        <v>0.64</v>
      </c>
      <c r="AB99">
        <v>29.4</v>
      </c>
      <c r="AC99">
        <v>3.35</v>
      </c>
      <c r="AD99">
        <f t="shared" si="11"/>
        <v>4.3499999999999996</v>
      </c>
      <c r="AE99">
        <f t="shared" si="15"/>
        <v>95</v>
      </c>
      <c r="AF99" s="23">
        <f t="shared" si="12"/>
        <v>0.98958333333333337</v>
      </c>
      <c r="AG99">
        <f t="shared" si="13"/>
        <v>0.63848925695463732</v>
      </c>
    </row>
    <row r="100" spans="2:33" x14ac:dyDescent="0.35">
      <c r="B100">
        <v>0.27</v>
      </c>
      <c r="L100" s="23">
        <f t="shared" si="8"/>
        <v>0.91428571428571426</v>
      </c>
      <c r="M100">
        <f t="shared" si="14"/>
        <v>96</v>
      </c>
      <c r="N100">
        <f t="shared" si="9"/>
        <v>6.8185861746161619E-2</v>
      </c>
      <c r="O100">
        <f t="shared" si="10"/>
        <v>1.17</v>
      </c>
      <c r="P100" s="30">
        <v>0.17</v>
      </c>
      <c r="Q100">
        <v>0.28999999999999998</v>
      </c>
      <c r="AB100">
        <v>17.8</v>
      </c>
      <c r="AC100">
        <v>0.69</v>
      </c>
      <c r="AD100">
        <f t="shared" si="11"/>
        <v>1.69</v>
      </c>
      <c r="AE100">
        <f t="shared" si="15"/>
        <v>96</v>
      </c>
      <c r="AF100" s="23">
        <f t="shared" si="12"/>
        <v>1</v>
      </c>
      <c r="AG100">
        <f t="shared" si="13"/>
        <v>0.22788670461367352</v>
      </c>
    </row>
    <row r="101" spans="2:33" x14ac:dyDescent="0.35">
      <c r="B101">
        <v>0.64</v>
      </c>
      <c r="L101" s="23">
        <f t="shared" si="8"/>
        <v>0.92380952380952386</v>
      </c>
      <c r="M101">
        <f t="shared" si="14"/>
        <v>97</v>
      </c>
      <c r="N101">
        <f t="shared" si="9"/>
        <v>6.8185861746161619E-2</v>
      </c>
      <c r="O101">
        <f t="shared" si="10"/>
        <v>1.17</v>
      </c>
      <c r="P101" s="30">
        <v>0.17</v>
      </c>
      <c r="Q101">
        <v>0.17</v>
      </c>
    </row>
    <row r="102" spans="2:33" x14ac:dyDescent="0.35">
      <c r="B102">
        <v>0.28999999999999998</v>
      </c>
      <c r="L102" s="23">
        <f t="shared" si="8"/>
        <v>0.93333333333333335</v>
      </c>
      <c r="M102">
        <f t="shared" si="14"/>
        <v>98</v>
      </c>
      <c r="N102">
        <f t="shared" si="9"/>
        <v>6.069784035361165E-2</v>
      </c>
      <c r="O102">
        <f t="shared" si="10"/>
        <v>1.1499999999999999</v>
      </c>
      <c r="P102" s="30">
        <v>0.15</v>
      </c>
      <c r="Q102">
        <v>0.14000000000000001</v>
      </c>
    </row>
    <row r="103" spans="2:33" x14ac:dyDescent="0.35">
      <c r="B103">
        <v>0.17</v>
      </c>
      <c r="L103" s="23">
        <f t="shared" si="8"/>
        <v>0.94285714285714284</v>
      </c>
      <c r="M103">
        <f t="shared" si="14"/>
        <v>99</v>
      </c>
      <c r="N103">
        <f t="shared" si="9"/>
        <v>6.069784035361165E-2</v>
      </c>
      <c r="O103">
        <f t="shared" si="10"/>
        <v>1.1499999999999999</v>
      </c>
      <c r="P103" s="30">
        <v>0.15</v>
      </c>
      <c r="Q103">
        <v>0.48</v>
      </c>
    </row>
    <row r="104" spans="2:33" x14ac:dyDescent="0.35">
      <c r="B104">
        <v>0.14000000000000001</v>
      </c>
      <c r="L104" s="23">
        <f t="shared" si="8"/>
        <v>0.95238095238095233</v>
      </c>
      <c r="M104">
        <f t="shared" si="14"/>
        <v>100</v>
      </c>
      <c r="N104">
        <f t="shared" si="9"/>
        <v>5.6904851336472641E-2</v>
      </c>
      <c r="O104">
        <f t="shared" si="10"/>
        <v>1.1400000000000001</v>
      </c>
      <c r="P104" s="30">
        <v>0.14000000000000001</v>
      </c>
      <c r="Q104">
        <v>0.49</v>
      </c>
    </row>
    <row r="105" spans="2:33" x14ac:dyDescent="0.35">
      <c r="B105">
        <v>0.48</v>
      </c>
      <c r="L105" s="23">
        <f t="shared" si="8"/>
        <v>0.96190476190476193</v>
      </c>
      <c r="M105">
        <f t="shared" si="14"/>
        <v>101</v>
      </c>
      <c r="N105">
        <f t="shared" si="9"/>
        <v>5.6904851336472641E-2</v>
      </c>
      <c r="O105">
        <f t="shared" si="10"/>
        <v>1.1400000000000001</v>
      </c>
      <c r="P105" s="30">
        <v>0.14000000000000001</v>
      </c>
      <c r="Q105">
        <v>1.1000000000000001</v>
      </c>
    </row>
    <row r="106" spans="2:33" x14ac:dyDescent="0.35">
      <c r="B106">
        <v>0.49</v>
      </c>
      <c r="L106" s="23">
        <f t="shared" si="8"/>
        <v>0.97142857142857142</v>
      </c>
      <c r="M106">
        <f t="shared" si="14"/>
        <v>102</v>
      </c>
      <c r="N106">
        <f t="shared" si="9"/>
        <v>5.6904851336472641E-2</v>
      </c>
      <c r="O106">
        <f t="shared" si="10"/>
        <v>1.1400000000000001</v>
      </c>
      <c r="P106" s="30">
        <v>0.14000000000000001</v>
      </c>
      <c r="Q106">
        <v>15.8</v>
      </c>
    </row>
    <row r="107" spans="2:33" x14ac:dyDescent="0.35">
      <c r="B107">
        <v>1.1000000000000001</v>
      </c>
      <c r="L107" s="23">
        <f t="shared" si="8"/>
        <v>0.98095238095238091</v>
      </c>
      <c r="M107">
        <f t="shared" si="14"/>
        <v>103</v>
      </c>
      <c r="N107">
        <f t="shared" si="9"/>
        <v>4.9218022670181653E-2</v>
      </c>
      <c r="O107">
        <f t="shared" si="10"/>
        <v>1.1200000000000001</v>
      </c>
      <c r="P107" s="30">
        <v>0.12</v>
      </c>
      <c r="Q107">
        <v>15.5</v>
      </c>
    </row>
    <row r="108" spans="2:33" x14ac:dyDescent="0.35">
      <c r="B108">
        <v>15.8</v>
      </c>
      <c r="L108" s="23">
        <f t="shared" si="8"/>
        <v>0.99047619047619051</v>
      </c>
      <c r="M108">
        <f t="shared" si="14"/>
        <v>104</v>
      </c>
      <c r="N108">
        <f t="shared" si="9"/>
        <v>4.1392685158225077E-2</v>
      </c>
      <c r="O108">
        <f t="shared" si="10"/>
        <v>1.1000000000000001</v>
      </c>
      <c r="P108" s="30">
        <v>0.1</v>
      </c>
      <c r="Q108">
        <v>28.3</v>
      </c>
    </row>
    <row r="109" spans="2:33" x14ac:dyDescent="0.35">
      <c r="B109">
        <v>15.5</v>
      </c>
      <c r="L109" s="23">
        <f t="shared" si="8"/>
        <v>1</v>
      </c>
      <c r="M109">
        <f t="shared" si="14"/>
        <v>105</v>
      </c>
      <c r="N109">
        <f t="shared" si="9"/>
        <v>4.1392685158225077E-2</v>
      </c>
      <c r="O109">
        <f t="shared" si="10"/>
        <v>1.1000000000000001</v>
      </c>
      <c r="P109" s="30">
        <v>0.1</v>
      </c>
      <c r="Q109">
        <v>9.26</v>
      </c>
    </row>
    <row r="110" spans="2:33" x14ac:dyDescent="0.35">
      <c r="B110">
        <v>28.3</v>
      </c>
    </row>
    <row r="111" spans="2:33" x14ac:dyDescent="0.35">
      <c r="B111">
        <v>9.26</v>
      </c>
    </row>
    <row r="113" spans="2:2" ht="15" x14ac:dyDescent="0.4">
      <c r="B113" s="6">
        <f>SUM(B7:B111)/105</f>
        <v>10.839142857142859</v>
      </c>
    </row>
  </sheetData>
  <sortState ref="AC5:AC100">
    <sortCondition descending="1" ref="AC5:AC100"/>
  </sortState>
  <phoneticPr fontId="1" type="noConversion"/>
  <pageMargins left="0.75" right="0.75" top="1" bottom="1" header="0.5" footer="0.5"/>
  <pageSetup orientation="portrait" r:id="rId1"/>
  <headerFooter alignWithMargins="0"/>
  <ignoredErrors>
    <ignoredError sqref="O3 AD3" numberStoredAsText="1"/>
    <ignoredError sqref="AJ7" twoDigitTextYear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workbookViewId="0">
      <selection activeCell="C12" sqref="C12"/>
    </sheetView>
  </sheetViews>
  <sheetFormatPr defaultRowHeight="12.75" x14ac:dyDescent="0.35"/>
  <cols>
    <col min="1" max="1" width="13.796875" customWidth="1"/>
  </cols>
  <sheetData>
    <row r="1" spans="1:19" x14ac:dyDescent="0.35">
      <c r="A1" t="s">
        <v>0</v>
      </c>
    </row>
    <row r="2" spans="1:19" x14ac:dyDescent="0.35">
      <c r="A2" t="s">
        <v>91</v>
      </c>
    </row>
    <row r="3" spans="1:19" x14ac:dyDescent="0.35">
      <c r="A3" t="s">
        <v>4</v>
      </c>
      <c r="B3" s="3" t="s">
        <v>25</v>
      </c>
      <c r="C3" s="3"/>
      <c r="D3" s="3"/>
      <c r="E3" s="3"/>
      <c r="F3" s="3"/>
      <c r="G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5">
      <c r="A4" t="s">
        <v>2</v>
      </c>
      <c r="B4">
        <v>422044</v>
      </c>
    </row>
    <row r="5" spans="1:19" x14ac:dyDescent="0.35">
      <c r="A5" t="s">
        <v>1</v>
      </c>
      <c r="B5">
        <v>5448127</v>
      </c>
    </row>
    <row r="7" spans="1:19" x14ac:dyDescent="0.35">
      <c r="B7">
        <v>0.03</v>
      </c>
    </row>
    <row r="8" spans="1:19" x14ac:dyDescent="0.35">
      <c r="B8">
        <v>0.1</v>
      </c>
    </row>
    <row r="9" spans="1:19" x14ac:dyDescent="0.35">
      <c r="B9">
        <v>0.15</v>
      </c>
    </row>
    <row r="10" spans="1:19" x14ac:dyDescent="0.35">
      <c r="B10">
        <v>0.14000000000000001</v>
      </c>
    </row>
    <row r="11" spans="1:19" x14ac:dyDescent="0.35">
      <c r="B11">
        <v>0.09</v>
      </c>
    </row>
    <row r="12" spans="1:19" x14ac:dyDescent="0.35">
      <c r="B12">
        <v>0.25</v>
      </c>
    </row>
    <row r="13" spans="1:19" x14ac:dyDescent="0.35">
      <c r="B13">
        <v>0.18</v>
      </c>
    </row>
    <row r="14" spans="1:19" x14ac:dyDescent="0.35">
      <c r="B14">
        <v>0.05</v>
      </c>
    </row>
    <row r="15" spans="1:19" x14ac:dyDescent="0.35">
      <c r="B15">
        <v>0.11</v>
      </c>
    </row>
    <row r="16" spans="1:19" x14ac:dyDescent="0.35">
      <c r="B16">
        <v>0.04</v>
      </c>
    </row>
    <row r="17" spans="2:2" x14ac:dyDescent="0.35">
      <c r="B17">
        <v>7.0000000000000007E-2</v>
      </c>
    </row>
    <row r="18" spans="2:2" x14ac:dyDescent="0.35">
      <c r="B18">
        <v>0.02</v>
      </c>
    </row>
    <row r="21" spans="2:2" ht="15" x14ac:dyDescent="0.4">
      <c r="B21" s="6">
        <f>SUM(B7:B18)/12</f>
        <v>0.10250000000000002</v>
      </c>
    </row>
  </sheetData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"/>
  <sheetViews>
    <sheetView workbookViewId="0">
      <selection activeCell="F9" sqref="F9"/>
    </sheetView>
  </sheetViews>
  <sheetFormatPr defaultRowHeight="12.75" x14ac:dyDescent="0.35"/>
  <cols>
    <col min="1" max="2" width="13.46484375" customWidth="1"/>
  </cols>
  <sheetData>
    <row r="1" spans="1:20" x14ac:dyDescent="0.35">
      <c r="A1" t="s">
        <v>0</v>
      </c>
      <c r="D1" s="3" t="s">
        <v>96</v>
      </c>
      <c r="E1" s="3"/>
      <c r="I1" t="s">
        <v>494</v>
      </c>
      <c r="J1" t="s">
        <v>495</v>
      </c>
    </row>
    <row r="2" spans="1:20" x14ac:dyDescent="0.35">
      <c r="A2" t="s">
        <v>91</v>
      </c>
      <c r="G2" t="s">
        <v>493</v>
      </c>
      <c r="I2">
        <v>60</v>
      </c>
      <c r="J2">
        <v>1.63</v>
      </c>
    </row>
    <row r="3" spans="1:20" s="12" customFormat="1" ht="13.15" x14ac:dyDescent="0.4">
      <c r="A3" s="12" t="s">
        <v>4</v>
      </c>
      <c r="B3" s="44" t="s">
        <v>25</v>
      </c>
      <c r="C3" s="44" t="s">
        <v>38</v>
      </c>
      <c r="D3" s="158">
        <v>40234</v>
      </c>
      <c r="F3" s="44"/>
      <c r="G3" s="44"/>
      <c r="H3" s="44"/>
      <c r="I3" s="12">
        <v>70</v>
      </c>
      <c r="J3" s="159">
        <v>1.53</v>
      </c>
      <c r="K3" s="44" t="s">
        <v>500</v>
      </c>
      <c r="L3" s="44" t="s">
        <v>501</v>
      </c>
      <c r="M3" s="44"/>
      <c r="N3" s="44"/>
      <c r="O3" s="44"/>
      <c r="P3" s="44"/>
      <c r="Q3" s="44"/>
      <c r="R3" s="44"/>
      <c r="S3" s="44"/>
      <c r="T3" s="44"/>
    </row>
    <row r="4" spans="1:20" x14ac:dyDescent="0.35">
      <c r="A4" t="s">
        <v>2</v>
      </c>
      <c r="B4">
        <v>422044</v>
      </c>
      <c r="C4">
        <v>421343</v>
      </c>
      <c r="D4">
        <v>484200</v>
      </c>
      <c r="E4" t="s">
        <v>97</v>
      </c>
      <c r="I4">
        <v>80</v>
      </c>
      <c r="J4">
        <v>1.47</v>
      </c>
    </row>
    <row r="5" spans="1:20" x14ac:dyDescent="0.35">
      <c r="A5" t="s">
        <v>1</v>
      </c>
      <c r="B5">
        <v>5448127</v>
      </c>
      <c r="C5">
        <v>5449106</v>
      </c>
      <c r="D5">
        <v>5438700</v>
      </c>
      <c r="E5" t="s">
        <v>496</v>
      </c>
      <c r="I5">
        <v>90</v>
      </c>
      <c r="J5">
        <v>1.41</v>
      </c>
    </row>
    <row r="6" spans="1:20" x14ac:dyDescent="0.35">
      <c r="D6" t="s">
        <v>498</v>
      </c>
    </row>
    <row r="7" spans="1:20" x14ac:dyDescent="0.35">
      <c r="D7" t="s">
        <v>497</v>
      </c>
      <c r="F7" t="s">
        <v>499</v>
      </c>
    </row>
    <row r="8" spans="1:20" ht="13.15" x14ac:dyDescent="0.4">
      <c r="F8" s="12">
        <v>1.6</v>
      </c>
    </row>
    <row r="9" spans="1:20" x14ac:dyDescent="0.35">
      <c r="B9">
        <v>0.03</v>
      </c>
      <c r="C9">
        <v>0.11</v>
      </c>
      <c r="D9">
        <v>0.14000000000000001</v>
      </c>
      <c r="E9" t="s">
        <v>101</v>
      </c>
      <c r="F9" s="4">
        <f>D9*1.6</f>
        <v>0.22400000000000003</v>
      </c>
    </row>
    <row r="10" spans="1:20" x14ac:dyDescent="0.35">
      <c r="B10">
        <v>0.1</v>
      </c>
      <c r="C10">
        <v>0.04</v>
      </c>
      <c r="D10">
        <v>0.12</v>
      </c>
      <c r="E10" t="s">
        <v>101</v>
      </c>
      <c r="F10" s="4">
        <f t="shared" ref="F10:F73" si="0">D10*1.6</f>
        <v>0.192</v>
      </c>
      <c r="H10" s="18" t="s">
        <v>491</v>
      </c>
      <c r="I10" s="160">
        <f>COUNTIF(F$9:F$82,"&gt;=0")-COUNTIF(F$9:F$82,"&gt;0.0199")</f>
        <v>1</v>
      </c>
      <c r="S10">
        <v>0.03</v>
      </c>
    </row>
    <row r="11" spans="1:20" x14ac:dyDescent="0.35">
      <c r="B11">
        <v>0.15</v>
      </c>
      <c r="C11">
        <v>0.04</v>
      </c>
      <c r="D11">
        <v>0.13</v>
      </c>
      <c r="E11" t="s">
        <v>101</v>
      </c>
      <c r="F11" s="4">
        <f t="shared" si="0"/>
        <v>0.20800000000000002</v>
      </c>
      <c r="H11" s="18" t="s">
        <v>518</v>
      </c>
      <c r="I11" s="160">
        <f>COUNTIF(F$9:F$82,"&gt;=0.02")-COUNTIF(F$9:F$82,"&gt;0.0399")</f>
        <v>5</v>
      </c>
      <c r="S11">
        <v>0.1</v>
      </c>
    </row>
    <row r="12" spans="1:20" x14ac:dyDescent="0.35">
      <c r="B12">
        <v>0.14000000000000001</v>
      </c>
      <c r="C12">
        <v>7.0000000000000007E-2</v>
      </c>
      <c r="D12">
        <v>0.11</v>
      </c>
      <c r="E12" t="s">
        <v>101</v>
      </c>
      <c r="F12" s="4">
        <f t="shared" si="0"/>
        <v>0.17600000000000002</v>
      </c>
      <c r="H12" s="18" t="s">
        <v>502</v>
      </c>
      <c r="I12" s="160">
        <f>COUNTIF(F$9:F$82,"&gt;=0.04")-COUNTIF(F$9:F$82,"&gt;0.0599")</f>
        <v>6</v>
      </c>
      <c r="S12">
        <v>0.15</v>
      </c>
    </row>
    <row r="13" spans="1:20" x14ac:dyDescent="0.35">
      <c r="B13">
        <v>0.09</v>
      </c>
      <c r="C13">
        <v>0.06</v>
      </c>
      <c r="D13">
        <v>0.16</v>
      </c>
      <c r="E13" t="s">
        <v>101</v>
      </c>
      <c r="F13" s="4">
        <f t="shared" si="0"/>
        <v>0.25600000000000001</v>
      </c>
      <c r="H13" s="18" t="s">
        <v>503</v>
      </c>
      <c r="I13" s="160">
        <f>COUNTIF(F$9:F$82,"&gt;=0.06")-COUNTIF(F$9:F$82,"&gt;0.0799")</f>
        <v>15</v>
      </c>
      <c r="S13">
        <v>0.14000000000000001</v>
      </c>
    </row>
    <row r="14" spans="1:20" x14ac:dyDescent="0.35">
      <c r="B14">
        <v>0.25</v>
      </c>
      <c r="C14">
        <v>0.08</v>
      </c>
      <c r="D14">
        <v>0.13</v>
      </c>
      <c r="E14" t="s">
        <v>101</v>
      </c>
      <c r="F14" s="4">
        <f t="shared" si="0"/>
        <v>0.20800000000000002</v>
      </c>
      <c r="H14" s="18" t="s">
        <v>504</v>
      </c>
      <c r="I14" s="160">
        <f>COUNTIF(F$9:F$82,"&gt;=0.08")-COUNTIF(F$9:F$82,"&gt;0.0999")</f>
        <v>12</v>
      </c>
      <c r="S14">
        <v>0.09</v>
      </c>
    </row>
    <row r="15" spans="1:20" x14ac:dyDescent="0.35">
      <c r="B15">
        <v>0.18</v>
      </c>
      <c r="C15">
        <v>0.03</v>
      </c>
      <c r="D15">
        <v>0.15</v>
      </c>
      <c r="E15" t="s">
        <v>101</v>
      </c>
      <c r="F15" s="4">
        <f t="shared" si="0"/>
        <v>0.24</v>
      </c>
      <c r="H15" s="18" t="s">
        <v>505</v>
      </c>
      <c r="I15" s="160">
        <f>COUNTIF(F$9:F$82,"&gt;=0.10")-COUNTIF(F$9:F$82,"&gt;0.1199")</f>
        <v>4</v>
      </c>
      <c r="S15">
        <v>0.25</v>
      </c>
    </row>
    <row r="16" spans="1:20" x14ac:dyDescent="0.35">
      <c r="B16">
        <v>0.05</v>
      </c>
      <c r="C16">
        <v>0.04</v>
      </c>
      <c r="D16">
        <v>0.18</v>
      </c>
      <c r="E16" t="s">
        <v>101</v>
      </c>
      <c r="F16" s="4">
        <f t="shared" si="0"/>
        <v>0.28799999999999998</v>
      </c>
      <c r="H16" s="18" t="s">
        <v>506</v>
      </c>
      <c r="I16" s="160">
        <f>COUNTIF(F$9:F$82,"&gt;=0.12")-COUNTIF(F$9:F$82,"&gt;0.1399")</f>
        <v>5</v>
      </c>
      <c r="S16">
        <v>0.18</v>
      </c>
    </row>
    <row r="17" spans="2:19" x14ac:dyDescent="0.35">
      <c r="B17">
        <v>0.11</v>
      </c>
      <c r="C17">
        <v>0.03</v>
      </c>
      <c r="D17">
        <v>0.08</v>
      </c>
      <c r="E17" t="s">
        <v>101</v>
      </c>
      <c r="F17" s="4">
        <f t="shared" si="0"/>
        <v>0.128</v>
      </c>
      <c r="H17" s="18" t="s">
        <v>507</v>
      </c>
      <c r="I17" s="160">
        <f>COUNTIF(F$9:F$82,"&gt;=0.140")-COUNTIF(F$9:F$82,"&gt;0.1599")</f>
        <v>0</v>
      </c>
      <c r="S17">
        <v>0.05</v>
      </c>
    </row>
    <row r="18" spans="2:19" x14ac:dyDescent="0.35">
      <c r="B18">
        <v>0.04</v>
      </c>
      <c r="D18">
        <v>0.12</v>
      </c>
      <c r="E18" t="s">
        <v>101</v>
      </c>
      <c r="F18" s="4">
        <f t="shared" si="0"/>
        <v>0.192</v>
      </c>
      <c r="H18" s="18" t="s">
        <v>508</v>
      </c>
      <c r="I18" s="160">
        <f>COUNTIF(F$9:F$82,"&gt;=0.160")-COUNTIF(F$9:F$82,"&gt;0.1799")</f>
        <v>3</v>
      </c>
      <c r="S18">
        <v>0.11</v>
      </c>
    </row>
    <row r="19" spans="2:19" ht="15" x14ac:dyDescent="0.4">
      <c r="B19">
        <v>7.0000000000000007E-2</v>
      </c>
      <c r="C19" s="6">
        <f>SUM(C9:C17)/9</f>
        <v>5.5555555555555552E-2</v>
      </c>
      <c r="D19">
        <v>0.13</v>
      </c>
      <c r="E19" t="s">
        <v>101</v>
      </c>
      <c r="F19" s="4">
        <f t="shared" si="0"/>
        <v>0.20800000000000002</v>
      </c>
      <c r="H19" s="18" t="s">
        <v>509</v>
      </c>
      <c r="I19" s="160">
        <f>COUNTIF(F$9:F$82,"&gt;=0.180")-COUNTIF(F$9:F$82,"&gt;0.1999")</f>
        <v>5</v>
      </c>
      <c r="S19">
        <v>0.04</v>
      </c>
    </row>
    <row r="20" spans="2:19" x14ac:dyDescent="0.35">
      <c r="B20">
        <v>0.02</v>
      </c>
      <c r="D20">
        <v>0.08</v>
      </c>
      <c r="E20" t="s">
        <v>101</v>
      </c>
      <c r="F20" s="4">
        <f t="shared" si="0"/>
        <v>0.128</v>
      </c>
      <c r="H20" s="18" t="s">
        <v>510</v>
      </c>
      <c r="I20" s="160">
        <f>COUNTIF(F$9:F$82,"&gt;=0.20")-COUNTIF(F$9:F$82,"&gt;0.2199")</f>
        <v>4</v>
      </c>
      <c r="S20">
        <v>7.0000000000000007E-2</v>
      </c>
    </row>
    <row r="21" spans="2:19" x14ac:dyDescent="0.35">
      <c r="D21">
        <v>0.12</v>
      </c>
      <c r="E21" t="s">
        <v>101</v>
      </c>
      <c r="F21" s="4">
        <f t="shared" si="0"/>
        <v>0.192</v>
      </c>
      <c r="H21" s="18" t="s">
        <v>511</v>
      </c>
      <c r="I21" s="160">
        <f>COUNTIF(F$9:F$82,"&gt;=0.220")-COUNTIF(F$9:F$82,"&gt;0.2399")</f>
        <v>2</v>
      </c>
      <c r="S21">
        <v>0.02</v>
      </c>
    </row>
    <row r="22" spans="2:19" x14ac:dyDescent="0.35">
      <c r="D22">
        <v>0.13</v>
      </c>
      <c r="E22" t="s">
        <v>101</v>
      </c>
      <c r="F22" s="4">
        <f t="shared" si="0"/>
        <v>0.20800000000000002</v>
      </c>
      <c r="H22" s="18" t="s">
        <v>512</v>
      </c>
      <c r="I22" s="160">
        <f>COUNTIF(F$9:F$82,"&gt;=0.240")-COUNTIF(F$9:F$82,"&gt;0.2599")</f>
        <v>3</v>
      </c>
      <c r="S22">
        <v>0.11</v>
      </c>
    </row>
    <row r="23" spans="2:19" ht="15" x14ac:dyDescent="0.4">
      <c r="B23" s="6">
        <f>SUM(B9:B20)/12</f>
        <v>0.10250000000000002</v>
      </c>
      <c r="D23">
        <v>0.08</v>
      </c>
      <c r="E23" t="s">
        <v>101</v>
      </c>
      <c r="F23" s="4">
        <f t="shared" si="0"/>
        <v>0.128</v>
      </c>
      <c r="H23" s="18" t="s">
        <v>513</v>
      </c>
      <c r="I23" s="160">
        <f>COUNTIF(F$9:F$82,"&gt;=0.260")-COUNTIF(F$9:F$82,"&gt;0.2799")</f>
        <v>0</v>
      </c>
      <c r="S23">
        <v>0.04</v>
      </c>
    </row>
    <row r="24" spans="2:19" x14ac:dyDescent="0.35">
      <c r="D24">
        <v>0.04</v>
      </c>
      <c r="E24" t="s">
        <v>101</v>
      </c>
      <c r="F24" s="4">
        <f t="shared" si="0"/>
        <v>6.4000000000000001E-2</v>
      </c>
      <c r="H24" s="18" t="s">
        <v>514</v>
      </c>
      <c r="I24" s="160">
        <f>COUNTIF(F$9:F$82,"&gt;=0.280")-COUNTIF(F$9:F$82,"&gt;0.2999")</f>
        <v>3</v>
      </c>
      <c r="S24">
        <v>0.04</v>
      </c>
    </row>
    <row r="25" spans="2:19" x14ac:dyDescent="0.35">
      <c r="D25">
        <v>0.04</v>
      </c>
      <c r="E25" t="s">
        <v>102</v>
      </c>
      <c r="F25" s="4">
        <f t="shared" si="0"/>
        <v>6.4000000000000001E-2</v>
      </c>
      <c r="H25" s="18" t="s">
        <v>515</v>
      </c>
      <c r="I25" s="160">
        <f>COUNTIF(F$9:F$82,"&gt;=0.30")-COUNTIF(F$9:F$82,"&gt;0.3199")</f>
        <v>1</v>
      </c>
      <c r="S25">
        <v>7.0000000000000007E-2</v>
      </c>
    </row>
    <row r="26" spans="2:19" x14ac:dyDescent="0.35">
      <c r="D26">
        <v>0.04</v>
      </c>
      <c r="E26" t="s">
        <v>102</v>
      </c>
      <c r="F26" s="4">
        <f t="shared" si="0"/>
        <v>6.4000000000000001E-2</v>
      </c>
      <c r="H26" s="18" t="s">
        <v>516</v>
      </c>
      <c r="I26" s="160">
        <f>COUNTIF(F$9:F$82,"&gt;=0.320")-COUNTIF(F$9:F$82,"&gt;0.3399")</f>
        <v>1</v>
      </c>
      <c r="S26">
        <v>0.06</v>
      </c>
    </row>
    <row r="27" spans="2:19" x14ac:dyDescent="0.35">
      <c r="D27">
        <v>0.05</v>
      </c>
      <c r="E27" t="s">
        <v>102</v>
      </c>
      <c r="F27" s="4">
        <f t="shared" si="0"/>
        <v>8.0000000000000016E-2</v>
      </c>
      <c r="H27" s="18" t="s">
        <v>517</v>
      </c>
      <c r="I27" s="160">
        <f>COUNTIF(F$9:F$82,"&gt;=0.340")</f>
        <v>4</v>
      </c>
      <c r="S27">
        <v>0.08</v>
      </c>
    </row>
    <row r="28" spans="2:19" x14ac:dyDescent="0.35">
      <c r="D28">
        <v>0.04</v>
      </c>
      <c r="E28" t="s">
        <v>102</v>
      </c>
      <c r="F28" s="4">
        <f t="shared" si="0"/>
        <v>6.4000000000000001E-2</v>
      </c>
      <c r="H28" s="18"/>
      <c r="I28" s="40"/>
      <c r="S28">
        <v>0.03</v>
      </c>
    </row>
    <row r="29" spans="2:19" x14ac:dyDescent="0.35">
      <c r="D29">
        <v>0.03</v>
      </c>
      <c r="E29" t="s">
        <v>102</v>
      </c>
      <c r="F29" s="4">
        <f t="shared" si="0"/>
        <v>4.8000000000000001E-2</v>
      </c>
      <c r="H29" s="18"/>
      <c r="I29" s="40"/>
      <c r="S29">
        <v>0.04</v>
      </c>
    </row>
    <row r="30" spans="2:19" x14ac:dyDescent="0.35">
      <c r="D30">
        <v>0.05</v>
      </c>
      <c r="E30" t="s">
        <v>102</v>
      </c>
      <c r="F30" s="4">
        <f t="shared" si="0"/>
        <v>8.0000000000000016E-2</v>
      </c>
      <c r="I30" s="40"/>
      <c r="S30">
        <v>0.03</v>
      </c>
    </row>
    <row r="31" spans="2:19" x14ac:dyDescent="0.35">
      <c r="D31">
        <v>0.04</v>
      </c>
      <c r="E31" t="s">
        <v>102</v>
      </c>
      <c r="F31" s="4">
        <f t="shared" si="0"/>
        <v>6.4000000000000001E-2</v>
      </c>
    </row>
    <row r="32" spans="2:19" x14ac:dyDescent="0.35">
      <c r="D32">
        <v>0.1</v>
      </c>
      <c r="E32" t="s">
        <v>102</v>
      </c>
      <c r="F32" s="4">
        <f t="shared" si="0"/>
        <v>0.16000000000000003</v>
      </c>
    </row>
    <row r="33" spans="4:6" x14ac:dyDescent="0.35">
      <c r="D33">
        <v>0.27</v>
      </c>
      <c r="E33" t="s">
        <v>102</v>
      </c>
      <c r="F33" s="4">
        <f t="shared" si="0"/>
        <v>0.43200000000000005</v>
      </c>
    </row>
    <row r="34" spans="4:6" x14ac:dyDescent="0.35">
      <c r="D34">
        <v>0.04</v>
      </c>
      <c r="E34" t="s">
        <v>102</v>
      </c>
      <c r="F34" s="4">
        <f t="shared" si="0"/>
        <v>6.4000000000000001E-2</v>
      </c>
    </row>
    <row r="35" spans="4:6" x14ac:dyDescent="0.35">
      <c r="D35">
        <v>0.05</v>
      </c>
      <c r="E35" t="s">
        <v>102</v>
      </c>
      <c r="F35" s="4">
        <f t="shared" si="0"/>
        <v>8.0000000000000016E-2</v>
      </c>
    </row>
    <row r="36" spans="4:6" x14ac:dyDescent="0.35">
      <c r="D36">
        <v>0.08</v>
      </c>
      <c r="E36" t="s">
        <v>102</v>
      </c>
      <c r="F36" s="4">
        <f t="shared" si="0"/>
        <v>0.128</v>
      </c>
    </row>
    <row r="37" spans="4:6" x14ac:dyDescent="0.35">
      <c r="D37">
        <v>0.18</v>
      </c>
      <c r="E37" t="s">
        <v>102</v>
      </c>
      <c r="F37" s="4">
        <f t="shared" si="0"/>
        <v>0.28799999999999998</v>
      </c>
    </row>
    <row r="38" spans="4:6" x14ac:dyDescent="0.35">
      <c r="D38">
        <v>0.05</v>
      </c>
      <c r="E38" t="s">
        <v>102</v>
      </c>
      <c r="F38" s="4">
        <f t="shared" si="0"/>
        <v>8.0000000000000016E-2</v>
      </c>
    </row>
    <row r="39" spans="4:6" x14ac:dyDescent="0.35">
      <c r="D39">
        <v>0.05</v>
      </c>
      <c r="E39" t="s">
        <v>102</v>
      </c>
      <c r="F39" s="4">
        <f t="shared" si="0"/>
        <v>8.0000000000000016E-2</v>
      </c>
    </row>
    <row r="40" spans="4:6" x14ac:dyDescent="0.35">
      <c r="D40">
        <v>7.0000000000000007E-2</v>
      </c>
      <c r="E40" t="s">
        <v>102</v>
      </c>
      <c r="F40" s="4">
        <f t="shared" si="0"/>
        <v>0.11200000000000002</v>
      </c>
    </row>
    <row r="41" spans="4:6" x14ac:dyDescent="0.35">
      <c r="D41">
        <v>0.05</v>
      </c>
      <c r="E41" t="s">
        <v>102</v>
      </c>
      <c r="F41" s="4">
        <f t="shared" si="0"/>
        <v>8.0000000000000016E-2</v>
      </c>
    </row>
    <row r="42" spans="4:6" x14ac:dyDescent="0.35">
      <c r="D42">
        <v>0.05</v>
      </c>
      <c r="E42" t="s">
        <v>102</v>
      </c>
      <c r="F42" s="4">
        <f t="shared" si="0"/>
        <v>8.0000000000000016E-2</v>
      </c>
    </row>
    <row r="43" spans="4:6" x14ac:dyDescent="0.35">
      <c r="D43">
        <v>0.02</v>
      </c>
      <c r="E43" t="s">
        <v>102</v>
      </c>
      <c r="F43" s="4">
        <f t="shared" si="0"/>
        <v>3.2000000000000001E-2</v>
      </c>
    </row>
    <row r="44" spans="4:6" x14ac:dyDescent="0.35">
      <c r="D44">
        <v>0.05</v>
      </c>
      <c r="E44" t="s">
        <v>102</v>
      </c>
      <c r="F44" s="4">
        <f t="shared" si="0"/>
        <v>8.0000000000000016E-2</v>
      </c>
    </row>
    <row r="45" spans="4:6" x14ac:dyDescent="0.35">
      <c r="D45">
        <v>0.02</v>
      </c>
      <c r="E45" t="s">
        <v>102</v>
      </c>
      <c r="F45" s="4">
        <f t="shared" si="0"/>
        <v>3.2000000000000001E-2</v>
      </c>
    </row>
    <row r="46" spans="4:6" x14ac:dyDescent="0.35">
      <c r="D46">
        <v>0.02</v>
      </c>
      <c r="E46" t="s">
        <v>102</v>
      </c>
      <c r="F46" s="4">
        <f t="shared" si="0"/>
        <v>3.2000000000000001E-2</v>
      </c>
    </row>
    <row r="47" spans="4:6" x14ac:dyDescent="0.35">
      <c r="D47">
        <v>0.06</v>
      </c>
      <c r="E47" t="s">
        <v>102</v>
      </c>
      <c r="F47" s="4">
        <f t="shared" si="0"/>
        <v>9.6000000000000002E-2</v>
      </c>
    </row>
    <row r="48" spans="4:6" x14ac:dyDescent="0.35">
      <c r="D48">
        <v>0.04</v>
      </c>
      <c r="E48" t="s">
        <v>102</v>
      </c>
      <c r="F48" s="4">
        <f t="shared" si="0"/>
        <v>6.4000000000000001E-2</v>
      </c>
    </row>
    <row r="49" spans="4:6" x14ac:dyDescent="0.35">
      <c r="D49">
        <v>0.12</v>
      </c>
      <c r="E49" t="s">
        <v>102</v>
      </c>
      <c r="F49" s="4">
        <f t="shared" si="0"/>
        <v>0.192</v>
      </c>
    </row>
    <row r="50" spans="4:6" x14ac:dyDescent="0.35">
      <c r="D50">
        <v>0.41</v>
      </c>
      <c r="E50" t="s">
        <v>102</v>
      </c>
      <c r="F50" s="4">
        <f t="shared" si="0"/>
        <v>0.65600000000000003</v>
      </c>
    </row>
    <row r="51" spans="4:6" x14ac:dyDescent="0.35">
      <c r="D51">
        <v>0.04</v>
      </c>
      <c r="E51" t="s">
        <v>102</v>
      </c>
      <c r="F51" s="4">
        <f t="shared" si="0"/>
        <v>6.4000000000000001E-2</v>
      </c>
    </row>
    <row r="52" spans="4:6" x14ac:dyDescent="0.35">
      <c r="D52">
        <v>0.14000000000000001</v>
      </c>
      <c r="E52" t="s">
        <v>102</v>
      </c>
      <c r="F52" s="4">
        <f t="shared" si="0"/>
        <v>0.22400000000000003</v>
      </c>
    </row>
    <row r="53" spans="4:6" x14ac:dyDescent="0.35">
      <c r="D53">
        <v>0.19</v>
      </c>
      <c r="E53" t="s">
        <v>102</v>
      </c>
      <c r="F53" s="4">
        <f t="shared" si="0"/>
        <v>0.30400000000000005</v>
      </c>
    </row>
    <row r="54" spans="4:6" x14ac:dyDescent="0.35">
      <c r="D54">
        <v>0.18</v>
      </c>
      <c r="E54" t="s">
        <v>102</v>
      </c>
      <c r="F54" s="4">
        <f t="shared" si="0"/>
        <v>0.28799999999999998</v>
      </c>
    </row>
    <row r="55" spans="4:6" x14ac:dyDescent="0.35">
      <c r="D55">
        <v>0.04</v>
      </c>
      <c r="E55" t="s">
        <v>102</v>
      </c>
      <c r="F55" s="4">
        <f t="shared" si="0"/>
        <v>6.4000000000000001E-2</v>
      </c>
    </row>
    <row r="56" spans="4:6" x14ac:dyDescent="0.35">
      <c r="D56">
        <v>0.02</v>
      </c>
      <c r="E56" t="s">
        <v>102</v>
      </c>
      <c r="F56" s="4">
        <f t="shared" si="0"/>
        <v>3.2000000000000001E-2</v>
      </c>
    </row>
    <row r="57" spans="4:6" x14ac:dyDescent="0.35">
      <c r="D57">
        <v>0.04</v>
      </c>
      <c r="E57" t="s">
        <v>102</v>
      </c>
      <c r="F57" s="4">
        <f t="shared" si="0"/>
        <v>6.4000000000000001E-2</v>
      </c>
    </row>
    <row r="58" spans="4:6" x14ac:dyDescent="0.35">
      <c r="D58">
        <v>0.02</v>
      </c>
      <c r="E58" t="s">
        <v>102</v>
      </c>
      <c r="F58" s="4">
        <f t="shared" si="0"/>
        <v>3.2000000000000001E-2</v>
      </c>
    </row>
    <row r="59" spans="4:6" x14ac:dyDescent="0.35">
      <c r="D59">
        <v>0.03</v>
      </c>
      <c r="E59" t="s">
        <v>102</v>
      </c>
      <c r="F59" s="4">
        <f t="shared" si="0"/>
        <v>4.8000000000000001E-2</v>
      </c>
    </row>
    <row r="60" spans="4:6" x14ac:dyDescent="0.35">
      <c r="D60">
        <v>0.03</v>
      </c>
      <c r="E60" t="s">
        <v>102</v>
      </c>
      <c r="F60" s="4">
        <f t="shared" si="0"/>
        <v>4.8000000000000001E-2</v>
      </c>
    </row>
    <row r="61" spans="4:6" x14ac:dyDescent="0.35">
      <c r="D61">
        <v>0.05</v>
      </c>
      <c r="E61" t="s">
        <v>102</v>
      </c>
      <c r="F61" s="4">
        <f t="shared" si="0"/>
        <v>8.0000000000000016E-2</v>
      </c>
    </row>
    <row r="62" spans="4:6" x14ac:dyDescent="0.35">
      <c r="D62">
        <v>0.03</v>
      </c>
      <c r="E62" t="s">
        <v>102</v>
      </c>
      <c r="F62" s="4">
        <f t="shared" si="0"/>
        <v>4.8000000000000001E-2</v>
      </c>
    </row>
    <row r="63" spans="4:6" x14ac:dyDescent="0.35">
      <c r="D63">
        <v>0.04</v>
      </c>
      <c r="E63" t="s">
        <v>102</v>
      </c>
      <c r="F63" s="4">
        <f t="shared" si="0"/>
        <v>6.4000000000000001E-2</v>
      </c>
    </row>
    <row r="64" spans="4:6" x14ac:dyDescent="0.35">
      <c r="D64">
        <v>0.04</v>
      </c>
      <c r="E64" t="s">
        <v>102</v>
      </c>
      <c r="F64" s="4">
        <f t="shared" si="0"/>
        <v>6.4000000000000001E-2</v>
      </c>
    </row>
    <row r="65" spans="4:6" x14ac:dyDescent="0.35">
      <c r="D65">
        <v>0.04</v>
      </c>
      <c r="E65" t="s">
        <v>102</v>
      </c>
      <c r="F65" s="4">
        <f t="shared" si="0"/>
        <v>6.4000000000000001E-2</v>
      </c>
    </row>
    <row r="66" spans="4:6" x14ac:dyDescent="0.35">
      <c r="D66">
        <v>0.05</v>
      </c>
      <c r="E66" t="s">
        <v>102</v>
      </c>
      <c r="F66" s="4">
        <f t="shared" si="0"/>
        <v>8.0000000000000016E-2</v>
      </c>
    </row>
    <row r="67" spans="4:6" x14ac:dyDescent="0.35">
      <c r="D67">
        <v>7.0000000000000007E-2</v>
      </c>
      <c r="E67" t="s">
        <v>102</v>
      </c>
      <c r="F67" s="4">
        <f t="shared" si="0"/>
        <v>0.11200000000000002</v>
      </c>
    </row>
    <row r="68" spans="4:6" x14ac:dyDescent="0.35">
      <c r="D68">
        <v>0.04</v>
      </c>
      <c r="E68" t="s">
        <v>102</v>
      </c>
      <c r="F68" s="4">
        <f t="shared" si="0"/>
        <v>6.4000000000000001E-2</v>
      </c>
    </row>
    <row r="69" spans="4:6" x14ac:dyDescent="0.35">
      <c r="D69">
        <v>0.03</v>
      </c>
      <c r="E69" t="s">
        <v>102</v>
      </c>
      <c r="F69" s="4">
        <f t="shared" si="0"/>
        <v>4.8000000000000001E-2</v>
      </c>
    </row>
    <row r="70" spans="4:6" x14ac:dyDescent="0.35">
      <c r="D70">
        <v>7.0000000000000007E-2</v>
      </c>
      <c r="E70" t="s">
        <v>102</v>
      </c>
      <c r="F70" s="4">
        <f t="shared" si="0"/>
        <v>0.11200000000000002</v>
      </c>
    </row>
    <row r="71" spans="4:6" x14ac:dyDescent="0.35">
      <c r="D71">
        <v>0.05</v>
      </c>
      <c r="E71" t="s">
        <v>102</v>
      </c>
      <c r="F71" s="4">
        <f t="shared" si="0"/>
        <v>8.0000000000000016E-2</v>
      </c>
    </row>
    <row r="72" spans="4:6" x14ac:dyDescent="0.35">
      <c r="D72">
        <v>0.01</v>
      </c>
      <c r="E72" t="s">
        <v>102</v>
      </c>
      <c r="F72" s="4">
        <f t="shared" si="0"/>
        <v>1.6E-2</v>
      </c>
    </row>
    <row r="73" spans="4:6" x14ac:dyDescent="0.35">
      <c r="D73">
        <v>0.04</v>
      </c>
      <c r="E73" t="s">
        <v>102</v>
      </c>
      <c r="F73" s="4">
        <f t="shared" si="0"/>
        <v>6.4000000000000001E-2</v>
      </c>
    </row>
    <row r="74" spans="4:6" x14ac:dyDescent="0.35">
      <c r="D74">
        <v>0.2</v>
      </c>
      <c r="E74" t="s">
        <v>102</v>
      </c>
      <c r="F74" s="4">
        <f t="shared" ref="F74:F82" si="1">D74*1.6</f>
        <v>0.32000000000000006</v>
      </c>
    </row>
    <row r="75" spans="4:6" x14ac:dyDescent="0.35">
      <c r="D75">
        <v>0.08</v>
      </c>
      <c r="E75" t="s">
        <v>102</v>
      </c>
      <c r="F75" s="4">
        <f t="shared" si="1"/>
        <v>0.128</v>
      </c>
    </row>
    <row r="76" spans="4:6" x14ac:dyDescent="0.35">
      <c r="D76">
        <v>0.03</v>
      </c>
      <c r="E76" t="s">
        <v>102</v>
      </c>
      <c r="F76" s="4">
        <f t="shared" si="1"/>
        <v>4.8000000000000001E-2</v>
      </c>
    </row>
    <row r="77" spans="4:6" x14ac:dyDescent="0.35">
      <c r="D77">
        <v>7.0000000000000007E-2</v>
      </c>
      <c r="E77" t="s">
        <v>103</v>
      </c>
      <c r="F77" s="4">
        <f t="shared" si="1"/>
        <v>0.11200000000000002</v>
      </c>
    </row>
    <row r="78" spans="4:6" x14ac:dyDescent="0.35">
      <c r="D78">
        <v>0.12</v>
      </c>
      <c r="E78" t="s">
        <v>103</v>
      </c>
      <c r="F78" s="4">
        <f t="shared" si="1"/>
        <v>0.192</v>
      </c>
    </row>
    <row r="79" spans="4:6" x14ac:dyDescent="0.35">
      <c r="D79">
        <v>0.26</v>
      </c>
      <c r="E79" t="s">
        <v>103</v>
      </c>
      <c r="F79" s="4">
        <f t="shared" si="1"/>
        <v>0.41600000000000004</v>
      </c>
    </row>
    <row r="80" spans="4:6" x14ac:dyDescent="0.35">
      <c r="D80">
        <v>0.1</v>
      </c>
      <c r="E80" t="s">
        <v>103</v>
      </c>
      <c r="F80" s="4">
        <f t="shared" si="1"/>
        <v>0.16000000000000003</v>
      </c>
    </row>
    <row r="81" spans="3:6" x14ac:dyDescent="0.35">
      <c r="D81">
        <v>0.16</v>
      </c>
      <c r="E81" t="s">
        <v>103</v>
      </c>
      <c r="F81" s="4">
        <f t="shared" si="1"/>
        <v>0.25600000000000001</v>
      </c>
    </row>
    <row r="82" spans="3:6" x14ac:dyDescent="0.35">
      <c r="D82">
        <v>0.22</v>
      </c>
      <c r="E82" t="s">
        <v>103</v>
      </c>
      <c r="F82" s="4">
        <f t="shared" si="1"/>
        <v>0.35200000000000004</v>
      </c>
    </row>
    <row r="84" spans="3:6" ht="15" x14ac:dyDescent="0.4">
      <c r="D84" s="6">
        <f>SUM(D9:D82)/74</f>
        <v>8.716216216216216E-2</v>
      </c>
    </row>
    <row r="85" spans="3:6" ht="15" x14ac:dyDescent="0.4">
      <c r="D85" s="6"/>
    </row>
    <row r="86" spans="3:6" x14ac:dyDescent="0.35">
      <c r="D86" s="4">
        <f>SUM(D9:D24)/16</f>
        <v>0.11875000000000002</v>
      </c>
      <c r="E86" t="s">
        <v>101</v>
      </c>
      <c r="F86" s="18" t="s">
        <v>490</v>
      </c>
    </row>
    <row r="87" spans="3:6" x14ac:dyDescent="0.35">
      <c r="D87" s="4">
        <f>SUM(D25:D76)/52</f>
        <v>6.9615384615384607E-2</v>
      </c>
      <c r="E87" t="s">
        <v>102</v>
      </c>
      <c r="F87" s="18" t="s">
        <v>489</v>
      </c>
    </row>
    <row r="88" spans="3:6" x14ac:dyDescent="0.35">
      <c r="D88" s="4">
        <f>SUM(D77:D82)/6</f>
        <v>0.155</v>
      </c>
      <c r="E88" t="s">
        <v>103</v>
      </c>
      <c r="F88" s="18" t="s">
        <v>488</v>
      </c>
    </row>
    <row r="89" spans="3:6" x14ac:dyDescent="0.35">
      <c r="C89" s="18" t="s">
        <v>492</v>
      </c>
      <c r="D89">
        <v>74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1"/>
  <sheetViews>
    <sheetView workbookViewId="0">
      <selection activeCell="I109" sqref="I109"/>
    </sheetView>
  </sheetViews>
  <sheetFormatPr defaultRowHeight="12.75" x14ac:dyDescent="0.35"/>
  <cols>
    <col min="1" max="1" width="13.19921875" customWidth="1"/>
    <col min="2" max="2" width="12.53125" customWidth="1"/>
    <col min="3" max="3" width="13" customWidth="1"/>
    <col min="13" max="13" width="12.1328125" bestFit="1" customWidth="1"/>
    <col min="24" max="24" width="8.796875" style="22"/>
  </cols>
  <sheetData>
    <row r="1" spans="1:25" x14ac:dyDescent="0.35">
      <c r="A1" t="s">
        <v>0</v>
      </c>
    </row>
    <row r="2" spans="1:25" x14ac:dyDescent="0.35">
      <c r="A2" t="s">
        <v>91</v>
      </c>
    </row>
    <row r="3" spans="1:25" s="46" customFormat="1" x14ac:dyDescent="0.35">
      <c r="A3" s="46" t="s">
        <v>4</v>
      </c>
      <c r="B3" s="46" t="s">
        <v>26</v>
      </c>
      <c r="C3" s="46" t="s">
        <v>29</v>
      </c>
      <c r="D3" s="46" t="s">
        <v>35</v>
      </c>
      <c r="E3" s="46" t="s">
        <v>35</v>
      </c>
      <c r="F3" s="46" t="s">
        <v>37</v>
      </c>
      <c r="H3" s="46" t="s">
        <v>35</v>
      </c>
      <c r="I3" s="46" t="s">
        <v>192</v>
      </c>
      <c r="J3" s="46" t="s">
        <v>159</v>
      </c>
      <c r="K3" s="46" t="s">
        <v>327</v>
      </c>
      <c r="L3" s="46" t="s">
        <v>34</v>
      </c>
      <c r="M3" s="46" t="s">
        <v>193</v>
      </c>
      <c r="X3" s="46" t="s">
        <v>280</v>
      </c>
      <c r="Y3" s="46" t="s">
        <v>34</v>
      </c>
    </row>
    <row r="4" spans="1:25" x14ac:dyDescent="0.35">
      <c r="A4" t="s">
        <v>2</v>
      </c>
      <c r="B4">
        <v>436439</v>
      </c>
      <c r="C4">
        <v>436779</v>
      </c>
      <c r="D4">
        <v>430832</v>
      </c>
      <c r="E4">
        <v>430832</v>
      </c>
      <c r="F4">
        <v>434853</v>
      </c>
    </row>
    <row r="5" spans="1:25" x14ac:dyDescent="0.35">
      <c r="A5" t="s">
        <v>1</v>
      </c>
      <c r="B5">
        <v>5438581</v>
      </c>
      <c r="C5">
        <v>5439444</v>
      </c>
      <c r="D5">
        <v>5444176</v>
      </c>
      <c r="E5">
        <v>5444176</v>
      </c>
      <c r="F5">
        <v>5443204</v>
      </c>
    </row>
    <row r="6" spans="1:25" x14ac:dyDescent="0.35">
      <c r="B6" t="s">
        <v>27</v>
      </c>
      <c r="C6" t="s">
        <v>27</v>
      </c>
      <c r="E6" t="s">
        <v>36</v>
      </c>
    </row>
    <row r="7" spans="1:25" x14ac:dyDescent="0.35">
      <c r="B7" t="s">
        <v>28</v>
      </c>
      <c r="C7" t="s">
        <v>28</v>
      </c>
      <c r="D7">
        <v>0.18</v>
      </c>
      <c r="E7">
        <v>0.05</v>
      </c>
      <c r="F7">
        <v>0.14000000000000001</v>
      </c>
      <c r="H7">
        <v>0.18</v>
      </c>
      <c r="I7" s="25">
        <v>0.04</v>
      </c>
      <c r="J7">
        <f>I7+1</f>
        <v>1.04</v>
      </c>
      <c r="K7">
        <f>LOG10(J7)</f>
        <v>1.703333929878037E-2</v>
      </c>
      <c r="L7">
        <v>1</v>
      </c>
      <c r="M7" s="23">
        <f>(L7*100/103)%</f>
        <v>9.7087378640776708E-3</v>
      </c>
    </row>
    <row r="8" spans="1:25" x14ac:dyDescent="0.35">
      <c r="B8" s="18" t="s">
        <v>523</v>
      </c>
      <c r="C8">
        <v>0.06</v>
      </c>
      <c r="D8">
        <v>0.65</v>
      </c>
      <c r="E8">
        <v>0.03</v>
      </c>
      <c r="F8">
        <v>0.15</v>
      </c>
      <c r="H8">
        <v>0.65</v>
      </c>
      <c r="I8" s="25">
        <v>0.05</v>
      </c>
      <c r="J8">
        <f t="shared" ref="J8:J71" si="0">I8+1</f>
        <v>1.05</v>
      </c>
      <c r="K8">
        <f t="shared" ref="K8:K71" si="1">LOG10(J8)</f>
        <v>2.1189299069938092E-2</v>
      </c>
      <c r="L8">
        <f>1+L7</f>
        <v>2</v>
      </c>
      <c r="M8" s="23">
        <f t="shared" ref="M8:M71" si="2">(L8*100/103)%</f>
        <v>1.9417475728155342E-2</v>
      </c>
      <c r="X8" s="22" t="s">
        <v>342</v>
      </c>
      <c r="Y8" s="40">
        <f>COUNTIF(I$7:I$109,"&gt;=0.00")-COUNTIF(I$7:I$109,"&gt;0.049")</f>
        <v>1</v>
      </c>
    </row>
    <row r="9" spans="1:25" x14ac:dyDescent="0.35">
      <c r="B9">
        <v>0.03</v>
      </c>
      <c r="C9">
        <v>0.02</v>
      </c>
      <c r="D9">
        <v>0.14000000000000001</v>
      </c>
      <c r="E9">
        <v>0.06</v>
      </c>
      <c r="F9">
        <v>7.0000000000000007E-2</v>
      </c>
      <c r="H9">
        <v>0.14000000000000001</v>
      </c>
      <c r="I9" s="25">
        <v>0.05</v>
      </c>
      <c r="J9">
        <f t="shared" si="0"/>
        <v>1.05</v>
      </c>
      <c r="K9">
        <f t="shared" si="1"/>
        <v>2.1189299069938092E-2</v>
      </c>
      <c r="L9">
        <f t="shared" ref="L9:L72" si="3">1+L8</f>
        <v>3</v>
      </c>
      <c r="M9" s="23">
        <f t="shared" si="2"/>
        <v>2.9126213592233011E-2</v>
      </c>
      <c r="X9" s="22" t="s">
        <v>328</v>
      </c>
      <c r="Y9" s="40">
        <f>COUNTIF(I$7:I$109,"&gt;=0.050")-COUNTIF(I$7:I$109,"&gt;0.099")</f>
        <v>17</v>
      </c>
    </row>
    <row r="10" spans="1:25" x14ac:dyDescent="0.35">
      <c r="B10">
        <v>0.03</v>
      </c>
      <c r="C10">
        <v>0.03</v>
      </c>
      <c r="D10">
        <v>0.13</v>
      </c>
      <c r="E10">
        <v>0.06</v>
      </c>
      <c r="F10">
        <v>0.12</v>
      </c>
      <c r="H10">
        <v>0.13</v>
      </c>
      <c r="I10" s="25">
        <v>0.05</v>
      </c>
      <c r="J10">
        <f t="shared" si="0"/>
        <v>1.05</v>
      </c>
      <c r="K10">
        <f t="shared" si="1"/>
        <v>2.1189299069938092E-2</v>
      </c>
      <c r="L10">
        <f t="shared" si="3"/>
        <v>4</v>
      </c>
      <c r="M10" s="23">
        <f t="shared" si="2"/>
        <v>3.8834951456310683E-2</v>
      </c>
      <c r="X10" s="22" t="s">
        <v>329</v>
      </c>
      <c r="Y10" s="40">
        <f>COUNTIF(I$7:I$109,"&gt;=0.10")-COUNTIF(I$7:I$109,"&gt;0.149")</f>
        <v>34</v>
      </c>
    </row>
    <row r="11" spans="1:25" x14ac:dyDescent="0.35">
      <c r="B11">
        <v>0.04</v>
      </c>
      <c r="C11">
        <v>0.01</v>
      </c>
      <c r="D11">
        <v>0.06</v>
      </c>
      <c r="E11">
        <v>0.05</v>
      </c>
      <c r="F11">
        <v>0.15</v>
      </c>
      <c r="H11">
        <v>0.06</v>
      </c>
      <c r="I11" s="25">
        <v>0.06</v>
      </c>
      <c r="J11">
        <f t="shared" si="0"/>
        <v>1.06</v>
      </c>
      <c r="K11">
        <f t="shared" si="1"/>
        <v>2.5305865264770262E-2</v>
      </c>
      <c r="L11">
        <f t="shared" si="3"/>
        <v>5</v>
      </c>
      <c r="M11" s="23">
        <f t="shared" si="2"/>
        <v>4.8543689320388349E-2</v>
      </c>
      <c r="X11" s="22" t="s">
        <v>330</v>
      </c>
      <c r="Y11" s="40">
        <f>COUNTIF(I$7:I$109,"&gt;=0.150")-COUNTIF(I$7:I$109,"&gt;0.199")</f>
        <v>18</v>
      </c>
    </row>
    <row r="12" spans="1:25" x14ac:dyDescent="0.35">
      <c r="B12">
        <v>0.04</v>
      </c>
      <c r="D12">
        <v>0.14000000000000001</v>
      </c>
      <c r="E12">
        <v>0.04</v>
      </c>
      <c r="F12">
        <v>0.14000000000000001</v>
      </c>
      <c r="H12">
        <v>0.14000000000000001</v>
      </c>
      <c r="I12" s="25">
        <v>0.06</v>
      </c>
      <c r="J12">
        <f t="shared" si="0"/>
        <v>1.06</v>
      </c>
      <c r="K12">
        <f t="shared" si="1"/>
        <v>2.5305865264770262E-2</v>
      </c>
      <c r="L12">
        <f t="shared" si="3"/>
        <v>6</v>
      </c>
      <c r="M12" s="23">
        <f t="shared" si="2"/>
        <v>5.8252427184466021E-2</v>
      </c>
      <c r="X12" s="22" t="s">
        <v>331</v>
      </c>
      <c r="Y12" s="40">
        <f>COUNTIF(I$7:I$109,"&gt;=0.20")-COUNTIF(I$7:I$109,"&gt;0.249")</f>
        <v>7</v>
      </c>
    </row>
    <row r="13" spans="1:25" x14ac:dyDescent="0.35">
      <c r="B13">
        <v>7.0000000000000007E-2</v>
      </c>
      <c r="D13">
        <v>0.55000000000000004</v>
      </c>
      <c r="E13">
        <v>7.0000000000000007E-2</v>
      </c>
      <c r="F13">
        <v>0.11</v>
      </c>
      <c r="H13">
        <v>0.55000000000000004</v>
      </c>
      <c r="I13" s="25">
        <v>7.0000000000000007E-2</v>
      </c>
      <c r="J13">
        <f t="shared" si="0"/>
        <v>1.07</v>
      </c>
      <c r="K13">
        <f t="shared" si="1"/>
        <v>2.9383777685209667E-2</v>
      </c>
      <c r="L13">
        <f t="shared" si="3"/>
        <v>7</v>
      </c>
      <c r="M13" s="23">
        <f t="shared" si="2"/>
        <v>6.7961165048543687E-2</v>
      </c>
      <c r="X13" s="22" t="s">
        <v>332</v>
      </c>
      <c r="Y13" s="40">
        <f>COUNTIF(I$7:I$109,"&gt;=0.25")-COUNTIF(I$7:I$109,"&gt;0.299")</f>
        <v>3</v>
      </c>
    </row>
    <row r="14" spans="1:25" x14ac:dyDescent="0.35">
      <c r="B14">
        <v>0.02</v>
      </c>
      <c r="D14">
        <v>0.11</v>
      </c>
      <c r="E14">
        <v>0.05</v>
      </c>
      <c r="F14">
        <v>0.09</v>
      </c>
      <c r="H14">
        <v>0.11</v>
      </c>
      <c r="I14" s="25">
        <v>7.0000000000000007E-2</v>
      </c>
      <c r="J14">
        <f t="shared" si="0"/>
        <v>1.07</v>
      </c>
      <c r="K14">
        <f t="shared" si="1"/>
        <v>2.9383777685209667E-2</v>
      </c>
      <c r="L14">
        <f t="shared" si="3"/>
        <v>8</v>
      </c>
      <c r="M14" s="23">
        <f t="shared" si="2"/>
        <v>7.7669902912621366E-2</v>
      </c>
      <c r="X14" s="22" t="s">
        <v>333</v>
      </c>
      <c r="Y14" s="40">
        <f>COUNTIF(I$7:I$109,"&gt;=0.3")-COUNTIF(I$7:I$109,"&gt;0.349")</f>
        <v>1</v>
      </c>
    </row>
    <row r="15" spans="1:25" x14ac:dyDescent="0.35">
      <c r="B15">
        <v>0.03</v>
      </c>
      <c r="D15">
        <v>0.17</v>
      </c>
      <c r="E15">
        <v>0.04</v>
      </c>
      <c r="F15">
        <v>0.13</v>
      </c>
      <c r="H15">
        <v>0.17</v>
      </c>
      <c r="I15" s="25">
        <v>7.0000000000000007E-2</v>
      </c>
      <c r="J15">
        <f t="shared" si="0"/>
        <v>1.07</v>
      </c>
      <c r="K15">
        <f t="shared" si="1"/>
        <v>2.9383777685209667E-2</v>
      </c>
      <c r="L15">
        <f t="shared" si="3"/>
        <v>9</v>
      </c>
      <c r="M15" s="23">
        <f t="shared" si="2"/>
        <v>8.7378640776699032E-2</v>
      </c>
      <c r="X15" s="22" t="s">
        <v>334</v>
      </c>
      <c r="Y15" s="40">
        <f>COUNTIF(I$7:I$109,"&gt;=0.35")-COUNTIF(I$7:I$109,"&gt;0.399")</f>
        <v>4</v>
      </c>
    </row>
    <row r="16" spans="1:25" x14ac:dyDescent="0.35">
      <c r="B16">
        <v>0.03</v>
      </c>
      <c r="D16">
        <v>0.13</v>
      </c>
      <c r="E16">
        <v>0.06</v>
      </c>
      <c r="F16">
        <v>7.0000000000000007E-2</v>
      </c>
      <c r="H16">
        <v>0.13</v>
      </c>
      <c r="I16" s="25">
        <v>7.0000000000000007E-2</v>
      </c>
      <c r="J16">
        <f t="shared" si="0"/>
        <v>1.07</v>
      </c>
      <c r="K16">
        <f t="shared" si="1"/>
        <v>2.9383777685209667E-2</v>
      </c>
      <c r="L16">
        <f t="shared" si="3"/>
        <v>10</v>
      </c>
      <c r="M16" s="23">
        <f t="shared" si="2"/>
        <v>9.7087378640776698E-2</v>
      </c>
      <c r="X16" s="22" t="s">
        <v>335</v>
      </c>
      <c r="Y16" s="40">
        <f>COUNTIF(I$7:I$109,"&gt;=0.40")-COUNTIF(I$7:I$109,"&gt;0.449")</f>
        <v>4</v>
      </c>
    </row>
    <row r="17" spans="2:25" x14ac:dyDescent="0.35">
      <c r="B17">
        <v>0.06</v>
      </c>
      <c r="D17">
        <v>0.46</v>
      </c>
      <c r="E17">
        <v>0.05</v>
      </c>
      <c r="F17">
        <v>0.1</v>
      </c>
      <c r="H17">
        <v>0.46</v>
      </c>
      <c r="I17" s="25">
        <v>7.0000000000000007E-2</v>
      </c>
      <c r="J17">
        <f t="shared" si="0"/>
        <v>1.07</v>
      </c>
      <c r="K17">
        <f t="shared" si="1"/>
        <v>2.9383777685209667E-2</v>
      </c>
      <c r="L17">
        <f t="shared" si="3"/>
        <v>11</v>
      </c>
      <c r="M17" s="23">
        <f t="shared" si="2"/>
        <v>0.10679611650485438</v>
      </c>
      <c r="X17" s="22" t="s">
        <v>336</v>
      </c>
      <c r="Y17" s="40">
        <f>COUNTIF(I$7:I$109,"&gt;=0.45")-COUNTIF(I$7:I$109,"&gt;0.499")</f>
        <v>5</v>
      </c>
    </row>
    <row r="18" spans="2:25" x14ac:dyDescent="0.35">
      <c r="B18">
        <v>0.05</v>
      </c>
      <c r="D18">
        <v>0.15</v>
      </c>
      <c r="E18">
        <v>0.05</v>
      </c>
      <c r="F18">
        <v>0.12</v>
      </c>
      <c r="H18">
        <v>0.15</v>
      </c>
      <c r="I18" s="25">
        <v>0.08</v>
      </c>
      <c r="J18">
        <f t="shared" si="0"/>
        <v>1.08</v>
      </c>
      <c r="K18">
        <f t="shared" si="1"/>
        <v>3.342375548694973E-2</v>
      </c>
      <c r="L18">
        <f t="shared" si="3"/>
        <v>12</v>
      </c>
      <c r="M18" s="23">
        <f t="shared" si="2"/>
        <v>0.11650485436893204</v>
      </c>
      <c r="X18" s="22" t="s">
        <v>337</v>
      </c>
      <c r="Y18" s="40">
        <f>COUNTIF(I$7:I$109,"&gt;=0.50")-COUNTIF(I$7:I$109,"&gt;0.549")</f>
        <v>2</v>
      </c>
    </row>
    <row r="19" spans="2:25" x14ac:dyDescent="0.35">
      <c r="D19">
        <v>0.09</v>
      </c>
      <c r="E19">
        <v>0.04</v>
      </c>
      <c r="F19">
        <v>0.1</v>
      </c>
      <c r="H19">
        <v>0.09</v>
      </c>
      <c r="I19" s="25">
        <v>0.08</v>
      </c>
      <c r="J19">
        <f t="shared" si="0"/>
        <v>1.08</v>
      </c>
      <c r="K19">
        <f t="shared" si="1"/>
        <v>3.342375548694973E-2</v>
      </c>
      <c r="L19">
        <f t="shared" si="3"/>
        <v>13</v>
      </c>
      <c r="M19" s="23">
        <f t="shared" si="2"/>
        <v>0.12621359223300971</v>
      </c>
      <c r="X19" s="22" t="s">
        <v>338</v>
      </c>
      <c r="Y19" s="40">
        <f>COUNTIF(I$7:I$109,"&gt;=0.55")-COUNTIF(I$7:I$109,"&gt;0.599")</f>
        <v>4</v>
      </c>
    </row>
    <row r="20" spans="2:25" x14ac:dyDescent="0.35">
      <c r="D20">
        <v>0.18</v>
      </c>
      <c r="F20">
        <v>0.09</v>
      </c>
      <c r="H20">
        <v>0.18</v>
      </c>
      <c r="I20" s="25">
        <v>0.09</v>
      </c>
      <c r="J20">
        <f t="shared" si="0"/>
        <v>1.0900000000000001</v>
      </c>
      <c r="K20">
        <f t="shared" si="1"/>
        <v>3.7426497940623665E-2</v>
      </c>
      <c r="L20">
        <f t="shared" si="3"/>
        <v>14</v>
      </c>
      <c r="M20" s="23">
        <f t="shared" si="2"/>
        <v>0.13592233009708737</v>
      </c>
      <c r="X20" s="22" t="s">
        <v>339</v>
      </c>
      <c r="Y20" s="40">
        <f>COUNTIF(I$7:I$109,"&gt;=0.6")-COUNTIF(I$7:I$109,"&gt;0.649")</f>
        <v>1</v>
      </c>
    </row>
    <row r="21" spans="2:25" ht="15" x14ac:dyDescent="0.4">
      <c r="B21" s="6">
        <f>SUM(B8:B18)/11</f>
        <v>3.6363636363636369E-2</v>
      </c>
      <c r="C21" s="6">
        <f>SUM(C8:C11)/4</f>
        <v>0.03</v>
      </c>
      <c r="D21">
        <v>0.17</v>
      </c>
      <c r="E21" s="6">
        <f>SUM(E7:E19)/13</f>
        <v>5.000000000000001E-2</v>
      </c>
      <c r="F21">
        <v>0.1</v>
      </c>
      <c r="H21">
        <v>0.17</v>
      </c>
      <c r="I21" s="25">
        <v>0.09</v>
      </c>
      <c r="J21">
        <f t="shared" si="0"/>
        <v>1.0900000000000001</v>
      </c>
      <c r="K21">
        <f t="shared" si="1"/>
        <v>3.7426497940623665E-2</v>
      </c>
      <c r="L21">
        <f t="shared" si="3"/>
        <v>15</v>
      </c>
      <c r="M21" s="23">
        <f t="shared" si="2"/>
        <v>0.14563106796116507</v>
      </c>
      <c r="X21" s="22" t="s">
        <v>340</v>
      </c>
      <c r="Y21" s="40">
        <f>COUNTIF(I$7:I$109,"&gt;=0.65")-COUNTIF(I$7:I$109,"&gt;0.699")</f>
        <v>1</v>
      </c>
    </row>
    <row r="22" spans="2:25" x14ac:dyDescent="0.35">
      <c r="D22">
        <v>0.17</v>
      </c>
      <c r="F22">
        <v>7.0000000000000007E-2</v>
      </c>
      <c r="H22">
        <v>0.17</v>
      </c>
      <c r="I22" s="25">
        <v>0.09</v>
      </c>
      <c r="J22">
        <f t="shared" si="0"/>
        <v>1.0900000000000001</v>
      </c>
      <c r="K22">
        <f t="shared" si="1"/>
        <v>3.7426497940623665E-2</v>
      </c>
      <c r="L22">
        <f t="shared" si="3"/>
        <v>16</v>
      </c>
      <c r="M22" s="23">
        <f t="shared" si="2"/>
        <v>0.15533980582524273</v>
      </c>
      <c r="X22" s="22" t="s">
        <v>341</v>
      </c>
      <c r="Y22" s="40">
        <f>COUNTIF(I$7:I$109,"&gt;=0.70")</f>
        <v>1</v>
      </c>
    </row>
    <row r="23" spans="2:25" x14ac:dyDescent="0.35">
      <c r="D23">
        <v>0.09</v>
      </c>
      <c r="F23">
        <v>0.19</v>
      </c>
      <c r="H23">
        <v>0.09</v>
      </c>
      <c r="I23" s="25">
        <v>0.09</v>
      </c>
      <c r="J23">
        <f t="shared" si="0"/>
        <v>1.0900000000000001</v>
      </c>
      <c r="K23">
        <f t="shared" si="1"/>
        <v>3.7426497940623665E-2</v>
      </c>
      <c r="L23">
        <f t="shared" si="3"/>
        <v>17</v>
      </c>
      <c r="M23" s="23">
        <f t="shared" si="2"/>
        <v>0.1650485436893204</v>
      </c>
    </row>
    <row r="24" spans="2:25" x14ac:dyDescent="0.35">
      <c r="D24">
        <v>0.11</v>
      </c>
      <c r="F24">
        <v>0.12</v>
      </c>
      <c r="H24">
        <v>0.11</v>
      </c>
      <c r="I24" s="25">
        <v>0.09</v>
      </c>
      <c r="J24">
        <f t="shared" si="0"/>
        <v>1.0900000000000001</v>
      </c>
      <c r="K24">
        <f t="shared" si="1"/>
        <v>3.7426497940623665E-2</v>
      </c>
      <c r="L24">
        <f t="shared" si="3"/>
        <v>18</v>
      </c>
      <c r="M24" s="23">
        <f t="shared" si="2"/>
        <v>0.17475728155339806</v>
      </c>
    </row>
    <row r="25" spans="2:25" x14ac:dyDescent="0.35">
      <c r="D25">
        <v>0.19</v>
      </c>
      <c r="F25">
        <v>0.12</v>
      </c>
      <c r="H25">
        <v>0.19</v>
      </c>
      <c r="I25" s="25">
        <v>0.1</v>
      </c>
      <c r="J25">
        <f t="shared" si="0"/>
        <v>1.1000000000000001</v>
      </c>
      <c r="K25">
        <f t="shared" si="1"/>
        <v>4.1392685158225077E-2</v>
      </c>
      <c r="L25">
        <f t="shared" si="3"/>
        <v>19</v>
      </c>
      <c r="M25" s="23">
        <f t="shared" si="2"/>
        <v>0.18446601941747573</v>
      </c>
    </row>
    <row r="26" spans="2:25" x14ac:dyDescent="0.35">
      <c r="D26">
        <v>0.06</v>
      </c>
      <c r="F26">
        <v>0.14000000000000001</v>
      </c>
      <c r="H26">
        <v>0.06</v>
      </c>
      <c r="I26" s="25">
        <v>0.1</v>
      </c>
      <c r="J26">
        <f t="shared" si="0"/>
        <v>1.1000000000000001</v>
      </c>
      <c r="K26">
        <f t="shared" si="1"/>
        <v>4.1392685158225077E-2</v>
      </c>
      <c r="L26">
        <f t="shared" si="3"/>
        <v>20</v>
      </c>
      <c r="M26" s="23">
        <f t="shared" si="2"/>
        <v>0.1941747572815534</v>
      </c>
    </row>
    <row r="27" spans="2:25" x14ac:dyDescent="0.35">
      <c r="D27">
        <v>0.6</v>
      </c>
      <c r="F27">
        <v>0.06</v>
      </c>
      <c r="H27">
        <v>0.6</v>
      </c>
      <c r="I27" s="25">
        <v>0.1</v>
      </c>
      <c r="J27">
        <f t="shared" si="0"/>
        <v>1.1000000000000001</v>
      </c>
      <c r="K27">
        <f t="shared" si="1"/>
        <v>4.1392685158225077E-2</v>
      </c>
      <c r="L27">
        <f t="shared" si="3"/>
        <v>21</v>
      </c>
      <c r="M27" s="23">
        <f t="shared" si="2"/>
        <v>0.20388349514563106</v>
      </c>
    </row>
    <row r="28" spans="2:25" x14ac:dyDescent="0.35">
      <c r="D28">
        <v>0.52</v>
      </c>
      <c r="F28">
        <v>0.11</v>
      </c>
      <c r="H28">
        <v>0.52</v>
      </c>
      <c r="I28" s="25">
        <v>0.1</v>
      </c>
      <c r="J28">
        <f t="shared" si="0"/>
        <v>1.1000000000000001</v>
      </c>
      <c r="K28">
        <f t="shared" si="1"/>
        <v>4.1392685158225077E-2</v>
      </c>
      <c r="L28">
        <f t="shared" si="3"/>
        <v>22</v>
      </c>
      <c r="M28" s="23">
        <f t="shared" si="2"/>
        <v>0.21359223300970875</v>
      </c>
    </row>
    <row r="29" spans="2:25" x14ac:dyDescent="0.35">
      <c r="D29">
        <v>0.11</v>
      </c>
      <c r="F29">
        <v>0.15</v>
      </c>
      <c r="H29">
        <v>0.11</v>
      </c>
      <c r="I29" s="25">
        <v>0.1</v>
      </c>
      <c r="J29">
        <f t="shared" si="0"/>
        <v>1.1000000000000001</v>
      </c>
      <c r="K29">
        <f t="shared" si="1"/>
        <v>4.1392685158225077E-2</v>
      </c>
      <c r="L29">
        <f t="shared" si="3"/>
        <v>23</v>
      </c>
      <c r="M29" s="23">
        <f t="shared" si="2"/>
        <v>0.22330097087378639</v>
      </c>
    </row>
    <row r="30" spans="2:25" x14ac:dyDescent="0.35">
      <c r="D30">
        <v>0.22</v>
      </c>
      <c r="F30">
        <v>0.08</v>
      </c>
      <c r="H30">
        <v>0.22</v>
      </c>
      <c r="I30" s="25">
        <v>0.1</v>
      </c>
      <c r="J30">
        <f t="shared" si="0"/>
        <v>1.1000000000000001</v>
      </c>
      <c r="K30">
        <f t="shared" si="1"/>
        <v>4.1392685158225077E-2</v>
      </c>
      <c r="L30">
        <f t="shared" si="3"/>
        <v>24</v>
      </c>
      <c r="M30" s="23">
        <f t="shared" si="2"/>
        <v>0.23300970873786409</v>
      </c>
    </row>
    <row r="31" spans="2:25" x14ac:dyDescent="0.35">
      <c r="D31">
        <v>0.55000000000000004</v>
      </c>
      <c r="F31">
        <v>0.13</v>
      </c>
      <c r="H31">
        <v>0.55000000000000004</v>
      </c>
      <c r="I31" s="25">
        <v>0.11</v>
      </c>
      <c r="J31">
        <f t="shared" si="0"/>
        <v>1.1100000000000001</v>
      </c>
      <c r="K31">
        <f t="shared" si="1"/>
        <v>4.5322978786657475E-2</v>
      </c>
      <c r="L31">
        <f t="shared" si="3"/>
        <v>25</v>
      </c>
      <c r="M31" s="23">
        <f t="shared" si="2"/>
        <v>0.24271844660194175</v>
      </c>
    </row>
    <row r="32" spans="2:25" x14ac:dyDescent="0.35">
      <c r="D32">
        <v>0.56000000000000005</v>
      </c>
      <c r="F32">
        <v>0.11</v>
      </c>
      <c r="H32">
        <v>0.56000000000000005</v>
      </c>
      <c r="I32" s="25">
        <v>0.11</v>
      </c>
      <c r="J32">
        <f t="shared" si="0"/>
        <v>1.1100000000000001</v>
      </c>
      <c r="K32">
        <f t="shared" si="1"/>
        <v>4.5322978786657475E-2</v>
      </c>
      <c r="L32">
        <f t="shared" si="3"/>
        <v>26</v>
      </c>
      <c r="M32" s="23">
        <f t="shared" si="2"/>
        <v>0.25242718446601942</v>
      </c>
    </row>
    <row r="33" spans="4:13" x14ac:dyDescent="0.35">
      <c r="D33">
        <v>0.22</v>
      </c>
      <c r="F33">
        <v>0.17</v>
      </c>
      <c r="H33">
        <v>0.22</v>
      </c>
      <c r="I33" s="25">
        <v>0.11</v>
      </c>
      <c r="J33">
        <f t="shared" si="0"/>
        <v>1.1100000000000001</v>
      </c>
      <c r="K33">
        <f t="shared" si="1"/>
        <v>4.5322978786657475E-2</v>
      </c>
      <c r="L33">
        <f t="shared" si="3"/>
        <v>27</v>
      </c>
      <c r="M33" s="23">
        <f t="shared" si="2"/>
        <v>0.26213592233009708</v>
      </c>
    </row>
    <row r="34" spans="4:13" x14ac:dyDescent="0.35">
      <c r="D34">
        <v>0.41</v>
      </c>
      <c r="F34">
        <v>0.19</v>
      </c>
      <c r="H34">
        <v>0.41</v>
      </c>
      <c r="I34" s="25">
        <v>0.11</v>
      </c>
      <c r="J34">
        <f t="shared" si="0"/>
        <v>1.1100000000000001</v>
      </c>
      <c r="K34">
        <f t="shared" si="1"/>
        <v>4.5322978786657475E-2</v>
      </c>
      <c r="L34">
        <f t="shared" si="3"/>
        <v>28</v>
      </c>
      <c r="M34" s="23">
        <f t="shared" si="2"/>
        <v>0.27184466019417475</v>
      </c>
    </row>
    <row r="35" spans="4:13" x14ac:dyDescent="0.35">
      <c r="D35">
        <v>7.0000000000000007E-2</v>
      </c>
      <c r="F35">
        <v>0.15</v>
      </c>
      <c r="H35">
        <v>7.0000000000000007E-2</v>
      </c>
      <c r="I35" s="25">
        <v>0.11</v>
      </c>
      <c r="J35">
        <f t="shared" si="0"/>
        <v>1.1100000000000001</v>
      </c>
      <c r="K35">
        <f t="shared" si="1"/>
        <v>4.5322978786657475E-2</v>
      </c>
      <c r="L35">
        <f t="shared" si="3"/>
        <v>29</v>
      </c>
      <c r="M35" s="23">
        <f t="shared" si="2"/>
        <v>0.28155339805825241</v>
      </c>
    </row>
    <row r="36" spans="4:13" x14ac:dyDescent="0.35">
      <c r="D36">
        <v>0.28999999999999998</v>
      </c>
      <c r="F36">
        <v>0.15</v>
      </c>
      <c r="H36">
        <v>0.28999999999999998</v>
      </c>
      <c r="I36" s="25">
        <v>0.11</v>
      </c>
      <c r="J36">
        <f t="shared" si="0"/>
        <v>1.1100000000000001</v>
      </c>
      <c r="K36">
        <f t="shared" si="1"/>
        <v>4.5322978786657475E-2</v>
      </c>
      <c r="L36">
        <f t="shared" si="3"/>
        <v>30</v>
      </c>
      <c r="M36" s="23">
        <f t="shared" si="2"/>
        <v>0.29126213592233013</v>
      </c>
    </row>
    <row r="37" spans="4:13" x14ac:dyDescent="0.35">
      <c r="D37">
        <v>0.25</v>
      </c>
      <c r="F37">
        <v>0.12</v>
      </c>
      <c r="H37">
        <v>0.25</v>
      </c>
      <c r="I37" s="25">
        <v>0.11</v>
      </c>
      <c r="J37">
        <f t="shared" si="0"/>
        <v>1.1100000000000001</v>
      </c>
      <c r="K37">
        <f t="shared" si="1"/>
        <v>4.5322978786657475E-2</v>
      </c>
      <c r="L37">
        <f t="shared" si="3"/>
        <v>31</v>
      </c>
      <c r="M37" s="23">
        <f t="shared" si="2"/>
        <v>0.30097087378640774</v>
      </c>
    </row>
    <row r="38" spans="4:13" x14ac:dyDescent="0.35">
      <c r="D38">
        <v>0.4</v>
      </c>
      <c r="F38">
        <v>0.19</v>
      </c>
      <c r="H38">
        <v>0.4</v>
      </c>
      <c r="I38" s="25">
        <v>0.12</v>
      </c>
      <c r="J38">
        <f t="shared" si="0"/>
        <v>1.1200000000000001</v>
      </c>
      <c r="K38">
        <f t="shared" si="1"/>
        <v>4.9218022670181653E-2</v>
      </c>
      <c r="L38">
        <f t="shared" si="3"/>
        <v>32</v>
      </c>
      <c r="M38" s="23">
        <f t="shared" si="2"/>
        <v>0.31067961165048547</v>
      </c>
    </row>
    <row r="39" spans="4:13" x14ac:dyDescent="0.35">
      <c r="D39">
        <v>0.08</v>
      </c>
      <c r="F39">
        <v>0.16</v>
      </c>
      <c r="H39">
        <v>0.08</v>
      </c>
      <c r="I39" s="25">
        <v>0.12</v>
      </c>
      <c r="J39">
        <f t="shared" si="0"/>
        <v>1.1200000000000001</v>
      </c>
      <c r="K39">
        <f t="shared" si="1"/>
        <v>4.9218022670181653E-2</v>
      </c>
      <c r="L39">
        <f t="shared" si="3"/>
        <v>33</v>
      </c>
      <c r="M39" s="23">
        <f t="shared" si="2"/>
        <v>0.32038834951456308</v>
      </c>
    </row>
    <row r="40" spans="4:13" x14ac:dyDescent="0.35">
      <c r="D40">
        <v>0.17</v>
      </c>
      <c r="F40">
        <v>0.16</v>
      </c>
      <c r="H40">
        <v>0.17</v>
      </c>
      <c r="I40" s="25">
        <v>0.12</v>
      </c>
      <c r="J40">
        <f t="shared" si="0"/>
        <v>1.1200000000000001</v>
      </c>
      <c r="K40">
        <f t="shared" si="1"/>
        <v>4.9218022670181653E-2</v>
      </c>
      <c r="L40">
        <f t="shared" si="3"/>
        <v>34</v>
      </c>
      <c r="M40" s="23">
        <f t="shared" si="2"/>
        <v>0.3300970873786408</v>
      </c>
    </row>
    <row r="41" spans="4:13" x14ac:dyDescent="0.35">
      <c r="D41">
        <v>0.12</v>
      </c>
      <c r="F41">
        <v>0.11</v>
      </c>
      <c r="H41">
        <v>0.12</v>
      </c>
      <c r="I41" s="25">
        <v>0.12</v>
      </c>
      <c r="J41">
        <f t="shared" si="0"/>
        <v>1.1200000000000001</v>
      </c>
      <c r="K41">
        <f t="shared" si="1"/>
        <v>4.9218022670181653E-2</v>
      </c>
      <c r="L41">
        <f t="shared" si="3"/>
        <v>35</v>
      </c>
      <c r="M41" s="23">
        <f t="shared" si="2"/>
        <v>0.33980582524271846</v>
      </c>
    </row>
    <row r="42" spans="4:13" x14ac:dyDescent="0.35">
      <c r="D42">
        <v>0.46</v>
      </c>
      <c r="F42">
        <v>0.11</v>
      </c>
      <c r="H42">
        <v>0.46</v>
      </c>
      <c r="I42" s="25">
        <v>0.12</v>
      </c>
      <c r="J42">
        <f t="shared" si="0"/>
        <v>1.1200000000000001</v>
      </c>
      <c r="K42">
        <f t="shared" si="1"/>
        <v>4.9218022670181653E-2</v>
      </c>
      <c r="L42">
        <f t="shared" si="3"/>
        <v>36</v>
      </c>
      <c r="M42" s="23">
        <f t="shared" si="2"/>
        <v>0.34951456310679613</v>
      </c>
    </row>
    <row r="43" spans="4:13" x14ac:dyDescent="0.35">
      <c r="D43">
        <v>0.55000000000000004</v>
      </c>
      <c r="F43">
        <v>0.11</v>
      </c>
      <c r="H43">
        <v>0.55000000000000004</v>
      </c>
      <c r="I43" s="25">
        <v>0.13</v>
      </c>
      <c r="J43">
        <f t="shared" si="0"/>
        <v>1.1299999999999999</v>
      </c>
      <c r="K43">
        <f t="shared" si="1"/>
        <v>5.3078443483419682E-2</v>
      </c>
      <c r="L43">
        <f t="shared" si="3"/>
        <v>37</v>
      </c>
      <c r="M43" s="23">
        <f t="shared" si="2"/>
        <v>0.35922330097087374</v>
      </c>
    </row>
    <row r="44" spans="4:13" x14ac:dyDescent="0.35">
      <c r="D44">
        <v>0.11</v>
      </c>
      <c r="F44">
        <v>7.0000000000000007E-2</v>
      </c>
      <c r="H44">
        <v>0.11</v>
      </c>
      <c r="I44" s="25">
        <v>0.13</v>
      </c>
      <c r="J44">
        <f t="shared" si="0"/>
        <v>1.1299999999999999</v>
      </c>
      <c r="K44">
        <f t="shared" si="1"/>
        <v>5.3078443483419682E-2</v>
      </c>
      <c r="L44">
        <f t="shared" si="3"/>
        <v>38</v>
      </c>
      <c r="M44" s="23">
        <f t="shared" si="2"/>
        <v>0.36893203883495146</v>
      </c>
    </row>
    <row r="45" spans="4:13" x14ac:dyDescent="0.35">
      <c r="D45">
        <v>0.48</v>
      </c>
      <c r="F45">
        <v>0.12</v>
      </c>
      <c r="H45">
        <v>0.48</v>
      </c>
      <c r="I45" s="25">
        <v>0.13</v>
      </c>
      <c r="J45">
        <f t="shared" si="0"/>
        <v>1.1299999999999999</v>
      </c>
      <c r="K45">
        <f t="shared" si="1"/>
        <v>5.3078443483419682E-2</v>
      </c>
      <c r="L45">
        <f t="shared" si="3"/>
        <v>39</v>
      </c>
      <c r="M45" s="23">
        <f t="shared" si="2"/>
        <v>0.37864077669902912</v>
      </c>
    </row>
    <row r="46" spans="4:13" x14ac:dyDescent="0.35">
      <c r="D46">
        <v>0.47</v>
      </c>
      <c r="F46">
        <v>0.15</v>
      </c>
      <c r="H46">
        <v>0.47</v>
      </c>
      <c r="I46" s="25">
        <v>0.13</v>
      </c>
      <c r="J46">
        <f t="shared" si="0"/>
        <v>1.1299999999999999</v>
      </c>
      <c r="K46">
        <f t="shared" si="1"/>
        <v>5.3078443483419682E-2</v>
      </c>
      <c r="L46">
        <f t="shared" si="3"/>
        <v>40</v>
      </c>
      <c r="M46" s="23">
        <f t="shared" si="2"/>
        <v>0.38834951456310679</v>
      </c>
    </row>
    <row r="47" spans="4:13" x14ac:dyDescent="0.35">
      <c r="D47">
        <v>0.17</v>
      </c>
      <c r="F47">
        <v>0.17</v>
      </c>
      <c r="H47">
        <v>0.17</v>
      </c>
      <c r="I47" s="25">
        <v>0.13</v>
      </c>
      <c r="J47">
        <f t="shared" si="0"/>
        <v>1.1299999999999999</v>
      </c>
      <c r="K47">
        <f t="shared" si="1"/>
        <v>5.3078443483419682E-2</v>
      </c>
      <c r="L47">
        <f t="shared" si="3"/>
        <v>41</v>
      </c>
      <c r="M47" s="23">
        <f t="shared" si="2"/>
        <v>0.39805825242718451</v>
      </c>
    </row>
    <row r="48" spans="4:13" x14ac:dyDescent="0.35">
      <c r="D48">
        <v>0.42</v>
      </c>
      <c r="F48">
        <v>0.08</v>
      </c>
      <c r="H48">
        <v>0.42</v>
      </c>
      <c r="I48" s="25">
        <v>0.13</v>
      </c>
      <c r="J48">
        <f t="shared" si="0"/>
        <v>1.1299999999999999</v>
      </c>
      <c r="K48">
        <f t="shared" si="1"/>
        <v>5.3078443483419682E-2</v>
      </c>
      <c r="L48">
        <f t="shared" si="3"/>
        <v>42</v>
      </c>
      <c r="M48" s="23">
        <f t="shared" si="2"/>
        <v>0.40776699029126212</v>
      </c>
    </row>
    <row r="49" spans="4:13" x14ac:dyDescent="0.35">
      <c r="D49">
        <v>11.9</v>
      </c>
      <c r="F49">
        <v>0.11</v>
      </c>
      <c r="H49">
        <v>11.9</v>
      </c>
      <c r="I49" s="25">
        <v>0.13</v>
      </c>
      <c r="J49">
        <f t="shared" si="0"/>
        <v>1.1299999999999999</v>
      </c>
      <c r="K49">
        <f t="shared" si="1"/>
        <v>5.3078443483419682E-2</v>
      </c>
      <c r="L49">
        <f t="shared" si="3"/>
        <v>43</v>
      </c>
      <c r="M49" s="23">
        <f t="shared" si="2"/>
        <v>0.41747572815533979</v>
      </c>
    </row>
    <row r="50" spans="4:13" x14ac:dyDescent="0.35">
      <c r="D50">
        <v>0.5</v>
      </c>
      <c r="F50">
        <v>0.11</v>
      </c>
      <c r="H50">
        <v>0.5</v>
      </c>
      <c r="I50" s="25">
        <v>0.14000000000000001</v>
      </c>
      <c r="J50">
        <f t="shared" si="0"/>
        <v>1.1400000000000001</v>
      </c>
      <c r="K50">
        <f t="shared" si="1"/>
        <v>5.6904851336472641E-2</v>
      </c>
      <c r="L50">
        <f t="shared" si="3"/>
        <v>44</v>
      </c>
      <c r="M50" s="23">
        <f t="shared" si="2"/>
        <v>0.42718446601941751</v>
      </c>
    </row>
    <row r="51" spans="4:13" x14ac:dyDescent="0.35">
      <c r="D51">
        <v>0.2</v>
      </c>
      <c r="F51">
        <v>0.14000000000000001</v>
      </c>
      <c r="H51">
        <v>0.2</v>
      </c>
      <c r="I51" s="25">
        <v>0.14000000000000001</v>
      </c>
      <c r="J51">
        <f t="shared" si="0"/>
        <v>1.1400000000000001</v>
      </c>
      <c r="K51">
        <f t="shared" si="1"/>
        <v>5.6904851336472641E-2</v>
      </c>
      <c r="L51">
        <f t="shared" si="3"/>
        <v>45</v>
      </c>
      <c r="M51" s="23">
        <f t="shared" si="2"/>
        <v>0.43689320388349517</v>
      </c>
    </row>
    <row r="52" spans="4:13" x14ac:dyDescent="0.35">
      <c r="D52">
        <v>0.15</v>
      </c>
      <c r="F52">
        <v>0.11</v>
      </c>
      <c r="H52">
        <v>0.15</v>
      </c>
      <c r="I52" s="25">
        <v>0.14000000000000001</v>
      </c>
      <c r="J52">
        <f t="shared" si="0"/>
        <v>1.1400000000000001</v>
      </c>
      <c r="K52">
        <f t="shared" si="1"/>
        <v>5.6904851336472641E-2</v>
      </c>
      <c r="L52">
        <f t="shared" si="3"/>
        <v>46</v>
      </c>
      <c r="M52" s="23">
        <f t="shared" si="2"/>
        <v>0.44660194174757278</v>
      </c>
    </row>
    <row r="53" spans="4:13" x14ac:dyDescent="0.35">
      <c r="D53">
        <v>0.15</v>
      </c>
      <c r="F53">
        <v>0.09</v>
      </c>
      <c r="H53">
        <v>0.15</v>
      </c>
      <c r="I53" s="25">
        <v>0.14000000000000001</v>
      </c>
      <c r="J53">
        <f t="shared" si="0"/>
        <v>1.1400000000000001</v>
      </c>
      <c r="K53">
        <f t="shared" si="1"/>
        <v>5.6904851336472641E-2</v>
      </c>
      <c r="L53">
        <f t="shared" si="3"/>
        <v>47</v>
      </c>
      <c r="M53" s="23">
        <f t="shared" si="2"/>
        <v>0.4563106796116505</v>
      </c>
    </row>
    <row r="54" spans="4:13" x14ac:dyDescent="0.35">
      <c r="D54">
        <v>0.15</v>
      </c>
      <c r="F54">
        <v>0.15</v>
      </c>
      <c r="H54">
        <v>0.15</v>
      </c>
      <c r="I54" s="25">
        <v>0.14000000000000001</v>
      </c>
      <c r="J54">
        <f t="shared" si="0"/>
        <v>1.1400000000000001</v>
      </c>
      <c r="K54">
        <f t="shared" si="1"/>
        <v>5.6904851336472641E-2</v>
      </c>
      <c r="L54">
        <f t="shared" si="3"/>
        <v>48</v>
      </c>
      <c r="M54" s="23">
        <f t="shared" si="2"/>
        <v>0.46601941747572817</v>
      </c>
    </row>
    <row r="55" spans="4:13" x14ac:dyDescent="0.35">
      <c r="D55">
        <v>0.32</v>
      </c>
      <c r="F55">
        <v>0.09</v>
      </c>
      <c r="H55">
        <v>0.32</v>
      </c>
      <c r="I55" s="25">
        <v>0.14000000000000001</v>
      </c>
      <c r="J55">
        <f t="shared" si="0"/>
        <v>1.1400000000000001</v>
      </c>
      <c r="K55">
        <f t="shared" si="1"/>
        <v>5.6904851336472641E-2</v>
      </c>
      <c r="L55">
        <f t="shared" si="3"/>
        <v>49</v>
      </c>
      <c r="M55" s="23">
        <f t="shared" si="2"/>
        <v>0.47572815533980584</v>
      </c>
    </row>
    <row r="56" spans="4:13" x14ac:dyDescent="0.35">
      <c r="D56">
        <v>0.12</v>
      </c>
      <c r="F56">
        <v>0.18</v>
      </c>
      <c r="H56">
        <v>0.12</v>
      </c>
      <c r="I56" s="25">
        <v>0.14000000000000001</v>
      </c>
      <c r="J56">
        <f t="shared" si="0"/>
        <v>1.1400000000000001</v>
      </c>
      <c r="K56">
        <f t="shared" si="1"/>
        <v>5.6904851336472641E-2</v>
      </c>
      <c r="L56">
        <f t="shared" si="3"/>
        <v>50</v>
      </c>
      <c r="M56" s="23">
        <f t="shared" si="2"/>
        <v>0.4854368932038835</v>
      </c>
    </row>
    <row r="57" spans="4:13" x14ac:dyDescent="0.35">
      <c r="D57">
        <v>0.38</v>
      </c>
      <c r="F57">
        <v>0.1</v>
      </c>
      <c r="H57">
        <v>0.38</v>
      </c>
      <c r="I57" s="25">
        <v>0.14000000000000001</v>
      </c>
      <c r="J57">
        <f t="shared" si="0"/>
        <v>1.1400000000000001</v>
      </c>
      <c r="K57">
        <f t="shared" si="1"/>
        <v>5.6904851336472641E-2</v>
      </c>
      <c r="L57">
        <f t="shared" si="3"/>
        <v>51</v>
      </c>
      <c r="M57" s="23">
        <f t="shared" si="2"/>
        <v>0.49514563106796117</v>
      </c>
    </row>
    <row r="58" spans="4:13" x14ac:dyDescent="0.35">
      <c r="D58">
        <v>0.14000000000000001</v>
      </c>
      <c r="F58">
        <v>0.12</v>
      </c>
      <c r="H58">
        <v>0.14000000000000001</v>
      </c>
      <c r="I58" s="25">
        <v>0.14000000000000001</v>
      </c>
      <c r="J58">
        <f t="shared" si="0"/>
        <v>1.1400000000000001</v>
      </c>
      <c r="K58">
        <f t="shared" si="1"/>
        <v>5.6904851336472641E-2</v>
      </c>
      <c r="L58">
        <f t="shared" si="3"/>
        <v>52</v>
      </c>
      <c r="M58" s="23">
        <f t="shared" si="2"/>
        <v>0.50485436893203883</v>
      </c>
    </row>
    <row r="59" spans="4:13" x14ac:dyDescent="0.35">
      <c r="D59">
        <v>0.21</v>
      </c>
      <c r="F59">
        <v>0.37</v>
      </c>
      <c r="H59">
        <v>0.21</v>
      </c>
      <c r="I59" s="25">
        <v>0.15</v>
      </c>
      <c r="J59">
        <f t="shared" si="0"/>
        <v>1.1499999999999999</v>
      </c>
      <c r="K59">
        <f t="shared" si="1"/>
        <v>6.069784035361165E-2</v>
      </c>
      <c r="L59">
        <f t="shared" si="3"/>
        <v>53</v>
      </c>
      <c r="M59" s="23">
        <f t="shared" si="2"/>
        <v>0.5145631067961165</v>
      </c>
    </row>
    <row r="60" spans="4:13" x14ac:dyDescent="0.35">
      <c r="D60">
        <v>0.15</v>
      </c>
      <c r="F60">
        <v>0.11</v>
      </c>
      <c r="H60">
        <v>0.15</v>
      </c>
      <c r="I60" s="25">
        <v>0.15</v>
      </c>
      <c r="J60">
        <f t="shared" si="0"/>
        <v>1.1499999999999999</v>
      </c>
      <c r="K60">
        <f t="shared" si="1"/>
        <v>6.069784035361165E-2</v>
      </c>
      <c r="L60">
        <f t="shared" si="3"/>
        <v>54</v>
      </c>
      <c r="M60" s="23">
        <f t="shared" si="2"/>
        <v>0.52427184466019416</v>
      </c>
    </row>
    <row r="61" spans="4:13" x14ac:dyDescent="0.35">
      <c r="D61">
        <v>0.1</v>
      </c>
      <c r="F61">
        <v>0.11</v>
      </c>
      <c r="H61">
        <v>0.1</v>
      </c>
      <c r="I61" s="25">
        <v>0.15</v>
      </c>
      <c r="J61">
        <f t="shared" si="0"/>
        <v>1.1499999999999999</v>
      </c>
      <c r="K61">
        <f t="shared" si="1"/>
        <v>6.069784035361165E-2</v>
      </c>
      <c r="L61">
        <f t="shared" si="3"/>
        <v>55</v>
      </c>
      <c r="M61" s="23">
        <f t="shared" si="2"/>
        <v>0.53398058252427183</v>
      </c>
    </row>
    <row r="62" spans="4:13" x14ac:dyDescent="0.35">
      <c r="D62">
        <v>0.17</v>
      </c>
      <c r="F62">
        <v>0.5</v>
      </c>
      <c r="H62">
        <v>0.17</v>
      </c>
      <c r="I62" s="25">
        <v>0.15</v>
      </c>
      <c r="J62">
        <f t="shared" si="0"/>
        <v>1.1499999999999999</v>
      </c>
      <c r="K62">
        <f t="shared" si="1"/>
        <v>6.069784035361165E-2</v>
      </c>
      <c r="L62">
        <f t="shared" si="3"/>
        <v>56</v>
      </c>
      <c r="M62" s="23">
        <f t="shared" si="2"/>
        <v>0.5436893203883495</v>
      </c>
    </row>
    <row r="63" spans="4:13" x14ac:dyDescent="0.35">
      <c r="D63">
        <v>0.17</v>
      </c>
      <c r="F63">
        <v>0.1</v>
      </c>
      <c r="H63">
        <v>0.17</v>
      </c>
      <c r="I63" s="25">
        <v>0.15</v>
      </c>
      <c r="J63">
        <f t="shared" si="0"/>
        <v>1.1499999999999999</v>
      </c>
      <c r="K63">
        <f t="shared" si="1"/>
        <v>6.069784035361165E-2</v>
      </c>
      <c r="L63">
        <f t="shared" si="3"/>
        <v>57</v>
      </c>
      <c r="M63" s="23">
        <f t="shared" si="2"/>
        <v>0.55339805825242716</v>
      </c>
    </row>
    <row r="64" spans="4:13" x14ac:dyDescent="0.35">
      <c r="D64">
        <v>0.12</v>
      </c>
      <c r="F64">
        <v>0.1</v>
      </c>
      <c r="H64">
        <v>0.12</v>
      </c>
      <c r="I64" s="25">
        <v>0.15</v>
      </c>
      <c r="J64">
        <f t="shared" si="0"/>
        <v>1.1499999999999999</v>
      </c>
      <c r="K64">
        <f t="shared" si="1"/>
        <v>6.069784035361165E-2</v>
      </c>
      <c r="L64">
        <f t="shared" si="3"/>
        <v>58</v>
      </c>
      <c r="M64" s="23">
        <f t="shared" si="2"/>
        <v>0.56310679611650483</v>
      </c>
    </row>
    <row r="65" spans="4:13" x14ac:dyDescent="0.35">
      <c r="D65">
        <v>0.13</v>
      </c>
      <c r="H65">
        <v>0.13</v>
      </c>
      <c r="I65" s="25">
        <v>0.16</v>
      </c>
      <c r="J65">
        <f t="shared" si="0"/>
        <v>1.1599999999999999</v>
      </c>
      <c r="K65">
        <f t="shared" si="1"/>
        <v>6.445798922691845E-2</v>
      </c>
      <c r="L65">
        <f t="shared" si="3"/>
        <v>59</v>
      </c>
      <c r="M65" s="23">
        <f t="shared" si="2"/>
        <v>0.57281553398058249</v>
      </c>
    </row>
    <row r="66" spans="4:13" ht="15" x14ac:dyDescent="0.4">
      <c r="D66">
        <v>0.38</v>
      </c>
      <c r="F66" s="6">
        <f>SUM(F7:F64)/58</f>
        <v>0.1320689655172414</v>
      </c>
      <c r="H66">
        <v>0.38</v>
      </c>
      <c r="I66" s="25">
        <v>0.17</v>
      </c>
      <c r="J66">
        <f t="shared" si="0"/>
        <v>1.17</v>
      </c>
      <c r="K66">
        <f t="shared" si="1"/>
        <v>6.8185861746161619E-2</v>
      </c>
      <c r="L66">
        <f t="shared" si="3"/>
        <v>60</v>
      </c>
      <c r="M66" s="23">
        <f t="shared" si="2"/>
        <v>0.58252427184466027</v>
      </c>
    </row>
    <row r="67" spans="4:13" x14ac:dyDescent="0.35">
      <c r="D67">
        <v>0.16</v>
      </c>
      <c r="H67">
        <v>0.16</v>
      </c>
      <c r="I67" s="25">
        <v>0.17</v>
      </c>
      <c r="J67">
        <f t="shared" si="0"/>
        <v>1.17</v>
      </c>
      <c r="K67">
        <f t="shared" si="1"/>
        <v>6.8185861746161619E-2</v>
      </c>
      <c r="L67">
        <f t="shared" si="3"/>
        <v>61</v>
      </c>
      <c r="M67" s="23">
        <f t="shared" si="2"/>
        <v>0.59223300970873782</v>
      </c>
    </row>
    <row r="68" spans="4:13" x14ac:dyDescent="0.35">
      <c r="D68">
        <v>0.48</v>
      </c>
      <c r="H68">
        <v>0.48</v>
      </c>
      <c r="I68" s="25">
        <v>0.17</v>
      </c>
      <c r="J68">
        <f t="shared" si="0"/>
        <v>1.17</v>
      </c>
      <c r="K68">
        <f t="shared" si="1"/>
        <v>6.8185861746161619E-2</v>
      </c>
      <c r="L68">
        <f t="shared" si="3"/>
        <v>62</v>
      </c>
      <c r="M68" s="23">
        <f t="shared" si="2"/>
        <v>0.60194174757281549</v>
      </c>
    </row>
    <row r="69" spans="4:13" x14ac:dyDescent="0.35">
      <c r="D69">
        <v>0.14000000000000001</v>
      </c>
      <c r="H69">
        <v>0.14000000000000001</v>
      </c>
      <c r="I69" s="25">
        <v>0.17</v>
      </c>
      <c r="J69">
        <f t="shared" si="0"/>
        <v>1.17</v>
      </c>
      <c r="K69">
        <f t="shared" si="1"/>
        <v>6.8185861746161619E-2</v>
      </c>
      <c r="L69">
        <f t="shared" si="3"/>
        <v>63</v>
      </c>
      <c r="M69" s="23">
        <f t="shared" si="2"/>
        <v>0.61165048543689327</v>
      </c>
    </row>
    <row r="70" spans="4:13" x14ac:dyDescent="0.35">
      <c r="D70">
        <v>7.0000000000000007E-2</v>
      </c>
      <c r="H70">
        <v>7.0000000000000007E-2</v>
      </c>
      <c r="I70" s="25">
        <v>0.17</v>
      </c>
      <c r="J70">
        <f t="shared" si="0"/>
        <v>1.17</v>
      </c>
      <c r="K70">
        <f t="shared" si="1"/>
        <v>6.8185861746161619E-2</v>
      </c>
      <c r="L70">
        <f t="shared" si="3"/>
        <v>64</v>
      </c>
      <c r="M70" s="23">
        <f t="shared" si="2"/>
        <v>0.62135922330097093</v>
      </c>
    </row>
    <row r="71" spans="4:13" x14ac:dyDescent="0.35">
      <c r="D71">
        <v>0.1</v>
      </c>
      <c r="H71">
        <v>0.1</v>
      </c>
      <c r="I71" s="25">
        <v>0.17</v>
      </c>
      <c r="J71">
        <f t="shared" si="0"/>
        <v>1.17</v>
      </c>
      <c r="K71">
        <f t="shared" si="1"/>
        <v>6.8185861746161619E-2</v>
      </c>
      <c r="L71">
        <f t="shared" si="3"/>
        <v>65</v>
      </c>
      <c r="M71" s="23">
        <f t="shared" si="2"/>
        <v>0.63106796116504849</v>
      </c>
    </row>
    <row r="72" spans="4:13" x14ac:dyDescent="0.35">
      <c r="D72">
        <v>0.13</v>
      </c>
      <c r="H72">
        <v>0.13</v>
      </c>
      <c r="I72" s="25">
        <v>0.17</v>
      </c>
      <c r="J72">
        <f t="shared" ref="J72:J109" si="4">I72+1</f>
        <v>1.17</v>
      </c>
      <c r="K72">
        <f t="shared" ref="K72:K109" si="5">LOG10(J72)</f>
        <v>6.8185861746161619E-2</v>
      </c>
      <c r="L72">
        <f t="shared" si="3"/>
        <v>66</v>
      </c>
      <c r="M72" s="23">
        <f t="shared" ref="M72:M109" si="6">(L72*100/103)%</f>
        <v>0.64077669902912615</v>
      </c>
    </row>
    <row r="73" spans="4:13" x14ac:dyDescent="0.35">
      <c r="D73">
        <v>0.11</v>
      </c>
      <c r="H73">
        <v>0.11</v>
      </c>
      <c r="I73" s="25">
        <v>0.17</v>
      </c>
      <c r="J73">
        <f t="shared" si="4"/>
        <v>1.17</v>
      </c>
      <c r="K73">
        <f t="shared" si="5"/>
        <v>6.8185861746161619E-2</v>
      </c>
      <c r="L73">
        <f t="shared" ref="L73:L109" si="7">1+L72</f>
        <v>67</v>
      </c>
      <c r="M73" s="23">
        <f t="shared" si="6"/>
        <v>0.65048543689320382</v>
      </c>
    </row>
    <row r="74" spans="4:13" x14ac:dyDescent="0.35">
      <c r="D74">
        <v>0.14000000000000001</v>
      </c>
      <c r="H74">
        <v>0.14000000000000001</v>
      </c>
      <c r="I74" s="25">
        <v>0.18</v>
      </c>
      <c r="J74">
        <f t="shared" si="4"/>
        <v>1.18</v>
      </c>
      <c r="K74">
        <f t="shared" si="5"/>
        <v>7.1882007306125359E-2</v>
      </c>
      <c r="L74">
        <f t="shared" si="7"/>
        <v>68</v>
      </c>
      <c r="M74" s="23">
        <f t="shared" si="6"/>
        <v>0.66019417475728159</v>
      </c>
    </row>
    <row r="75" spans="4:13" x14ac:dyDescent="0.35">
      <c r="D75">
        <v>0.1</v>
      </c>
      <c r="H75">
        <v>0.1</v>
      </c>
      <c r="I75" s="25">
        <v>0.18</v>
      </c>
      <c r="J75">
        <f t="shared" si="4"/>
        <v>1.18</v>
      </c>
      <c r="K75">
        <f t="shared" si="5"/>
        <v>7.1882007306125359E-2</v>
      </c>
      <c r="L75">
        <f t="shared" si="7"/>
        <v>69</v>
      </c>
      <c r="M75" s="23">
        <f t="shared" si="6"/>
        <v>0.66990291262135926</v>
      </c>
    </row>
    <row r="76" spans="4:13" x14ac:dyDescent="0.35">
      <c r="D76">
        <v>0.11</v>
      </c>
      <c r="H76">
        <v>0.11</v>
      </c>
      <c r="I76" s="25">
        <v>0.19</v>
      </c>
      <c r="J76">
        <f t="shared" si="4"/>
        <v>1.19</v>
      </c>
      <c r="K76">
        <f t="shared" si="5"/>
        <v>7.554696139253074E-2</v>
      </c>
      <c r="L76">
        <f t="shared" si="7"/>
        <v>70</v>
      </c>
      <c r="M76" s="23">
        <f t="shared" si="6"/>
        <v>0.67961165048543692</v>
      </c>
    </row>
    <row r="77" spans="4:13" x14ac:dyDescent="0.35">
      <c r="D77">
        <v>0.14000000000000001</v>
      </c>
      <c r="H77">
        <v>0.14000000000000001</v>
      </c>
      <c r="I77" s="25">
        <v>0.2</v>
      </c>
      <c r="J77">
        <f t="shared" si="4"/>
        <v>1.2</v>
      </c>
      <c r="K77">
        <f t="shared" si="5"/>
        <v>7.9181246047624818E-2</v>
      </c>
      <c r="L77">
        <f t="shared" si="7"/>
        <v>71</v>
      </c>
      <c r="M77" s="23">
        <f t="shared" si="6"/>
        <v>0.68932038834951459</v>
      </c>
    </row>
    <row r="78" spans="4:13" x14ac:dyDescent="0.35">
      <c r="D78">
        <v>0.09</v>
      </c>
      <c r="H78">
        <v>0.09</v>
      </c>
      <c r="I78" s="25">
        <v>0.2</v>
      </c>
      <c r="J78">
        <f t="shared" si="4"/>
        <v>1.2</v>
      </c>
      <c r="K78">
        <f t="shared" si="5"/>
        <v>7.9181246047624818E-2</v>
      </c>
      <c r="L78">
        <f t="shared" si="7"/>
        <v>72</v>
      </c>
      <c r="M78" s="23">
        <f t="shared" si="6"/>
        <v>0.69902912621359226</v>
      </c>
    </row>
    <row r="79" spans="4:13" x14ac:dyDescent="0.35">
      <c r="D79">
        <v>0.12</v>
      </c>
      <c r="H79">
        <v>0.12</v>
      </c>
      <c r="I79" s="25">
        <v>0.21</v>
      </c>
      <c r="J79">
        <f t="shared" si="4"/>
        <v>1.21</v>
      </c>
      <c r="K79">
        <f t="shared" si="5"/>
        <v>8.2785370316450071E-2</v>
      </c>
      <c r="L79">
        <f t="shared" si="7"/>
        <v>73</v>
      </c>
      <c r="M79" s="23">
        <f t="shared" si="6"/>
        <v>0.70873786407766981</v>
      </c>
    </row>
    <row r="80" spans="4:13" x14ac:dyDescent="0.35">
      <c r="D80">
        <v>0.13</v>
      </c>
      <c r="H80">
        <v>0.13</v>
      </c>
      <c r="I80" s="25">
        <v>0.21</v>
      </c>
      <c r="J80">
        <f t="shared" si="4"/>
        <v>1.21</v>
      </c>
      <c r="K80">
        <f t="shared" si="5"/>
        <v>8.2785370316450071E-2</v>
      </c>
      <c r="L80">
        <f t="shared" si="7"/>
        <v>74</v>
      </c>
      <c r="M80" s="23">
        <f t="shared" si="6"/>
        <v>0.71844660194174748</v>
      </c>
    </row>
    <row r="81" spans="4:13" x14ac:dyDescent="0.35">
      <c r="D81">
        <v>0.11</v>
      </c>
      <c r="H81">
        <v>0.11</v>
      </c>
      <c r="I81" s="25">
        <v>0.22</v>
      </c>
      <c r="J81">
        <f t="shared" si="4"/>
        <v>1.22</v>
      </c>
      <c r="K81">
        <f t="shared" si="5"/>
        <v>8.6359830674748214E-2</v>
      </c>
      <c r="L81">
        <f t="shared" si="7"/>
        <v>75</v>
      </c>
      <c r="M81" s="23">
        <f t="shared" si="6"/>
        <v>0.72815533980582525</v>
      </c>
    </row>
    <row r="82" spans="4:13" x14ac:dyDescent="0.35">
      <c r="D82">
        <v>7.0000000000000007E-2</v>
      </c>
      <c r="H82">
        <v>7.0000000000000007E-2</v>
      </c>
      <c r="I82" s="25">
        <v>0.22</v>
      </c>
      <c r="J82">
        <f t="shared" si="4"/>
        <v>1.22</v>
      </c>
      <c r="K82">
        <f t="shared" si="5"/>
        <v>8.6359830674748214E-2</v>
      </c>
      <c r="L82">
        <f t="shared" si="7"/>
        <v>76</v>
      </c>
      <c r="M82" s="23">
        <f t="shared" si="6"/>
        <v>0.73786407766990292</v>
      </c>
    </row>
    <row r="83" spans="4:13" x14ac:dyDescent="0.35">
      <c r="D83">
        <v>0.1</v>
      </c>
      <c r="H83">
        <v>0.1</v>
      </c>
      <c r="I83" s="25">
        <v>0.23</v>
      </c>
      <c r="J83">
        <f t="shared" si="4"/>
        <v>1.23</v>
      </c>
      <c r="K83">
        <f t="shared" si="5"/>
        <v>8.9905111439397931E-2</v>
      </c>
      <c r="L83">
        <f t="shared" si="7"/>
        <v>77</v>
      </c>
      <c r="M83" s="23">
        <f t="shared" si="6"/>
        <v>0.74757281553398058</v>
      </c>
    </row>
    <row r="84" spans="4:13" x14ac:dyDescent="0.35">
      <c r="D84">
        <v>0.09</v>
      </c>
      <c r="H84">
        <v>0.09</v>
      </c>
      <c r="I84" s="25">
        <v>0.25</v>
      </c>
      <c r="J84">
        <f t="shared" si="4"/>
        <v>1.25</v>
      </c>
      <c r="K84">
        <f t="shared" si="5"/>
        <v>9.691001300805642E-2</v>
      </c>
      <c r="L84">
        <f t="shared" si="7"/>
        <v>78</v>
      </c>
      <c r="M84" s="23">
        <f t="shared" si="6"/>
        <v>0.75728155339805825</v>
      </c>
    </row>
    <row r="85" spans="4:13" x14ac:dyDescent="0.35">
      <c r="D85">
        <v>0.12</v>
      </c>
      <c r="H85">
        <v>0.12</v>
      </c>
      <c r="I85" s="25">
        <v>0.28999999999999998</v>
      </c>
      <c r="J85">
        <f t="shared" si="4"/>
        <v>1.29</v>
      </c>
      <c r="K85">
        <f t="shared" si="5"/>
        <v>0.11058971029924898</v>
      </c>
      <c r="L85">
        <f t="shared" si="7"/>
        <v>79</v>
      </c>
      <c r="M85" s="23">
        <f t="shared" si="6"/>
        <v>0.76699029126213591</v>
      </c>
    </row>
    <row r="86" spans="4:13" x14ac:dyDescent="0.35">
      <c r="D86">
        <v>0.09</v>
      </c>
      <c r="H86">
        <v>0.09</v>
      </c>
      <c r="I86" s="25">
        <v>0.28999999999999998</v>
      </c>
      <c r="J86">
        <f t="shared" si="4"/>
        <v>1.29</v>
      </c>
      <c r="K86">
        <f t="shared" si="5"/>
        <v>0.11058971029924898</v>
      </c>
      <c r="L86">
        <f t="shared" si="7"/>
        <v>80</v>
      </c>
      <c r="M86" s="23">
        <f t="shared" si="6"/>
        <v>0.77669902912621358</v>
      </c>
    </row>
    <row r="87" spans="4:13" x14ac:dyDescent="0.35">
      <c r="D87">
        <v>0.2</v>
      </c>
      <c r="H87">
        <v>0.2</v>
      </c>
      <c r="I87" s="25">
        <v>0.32</v>
      </c>
      <c r="J87">
        <f t="shared" si="4"/>
        <v>1.32</v>
      </c>
      <c r="K87">
        <f t="shared" si="5"/>
        <v>0.12057393120584989</v>
      </c>
      <c r="L87">
        <f t="shared" si="7"/>
        <v>81</v>
      </c>
      <c r="M87" s="23">
        <f t="shared" si="6"/>
        <v>0.78640776699029136</v>
      </c>
    </row>
    <row r="88" spans="4:13" x14ac:dyDescent="0.35">
      <c r="D88">
        <v>0.35</v>
      </c>
      <c r="H88">
        <v>0.35</v>
      </c>
      <c r="I88" s="25">
        <v>0.35</v>
      </c>
      <c r="J88">
        <f t="shared" si="4"/>
        <v>1.35</v>
      </c>
      <c r="K88">
        <f t="shared" si="5"/>
        <v>0.13033376849500614</v>
      </c>
      <c r="L88">
        <f t="shared" si="7"/>
        <v>82</v>
      </c>
      <c r="M88" s="23">
        <f t="shared" si="6"/>
        <v>0.79611650485436902</v>
      </c>
    </row>
    <row r="89" spans="4:13" x14ac:dyDescent="0.35">
      <c r="D89">
        <v>0.23</v>
      </c>
      <c r="H89">
        <v>0.23</v>
      </c>
      <c r="I89" s="25">
        <v>0.36</v>
      </c>
      <c r="J89">
        <f t="shared" si="4"/>
        <v>1.3599999999999999</v>
      </c>
      <c r="K89">
        <f t="shared" si="5"/>
        <v>0.13353890837021748</v>
      </c>
      <c r="L89">
        <f t="shared" si="7"/>
        <v>83</v>
      </c>
      <c r="M89" s="23">
        <f t="shared" si="6"/>
        <v>0.80582524271844658</v>
      </c>
    </row>
    <row r="90" spans="4:13" x14ac:dyDescent="0.35">
      <c r="D90">
        <v>0.36</v>
      </c>
      <c r="H90">
        <v>0.36</v>
      </c>
      <c r="I90" s="25">
        <v>0.38</v>
      </c>
      <c r="J90">
        <f t="shared" si="4"/>
        <v>1.38</v>
      </c>
      <c r="K90">
        <f t="shared" si="5"/>
        <v>0.13987908640123647</v>
      </c>
      <c r="L90">
        <f t="shared" si="7"/>
        <v>84</v>
      </c>
      <c r="M90" s="23">
        <f t="shared" si="6"/>
        <v>0.81553398058252424</v>
      </c>
    </row>
    <row r="91" spans="4:13" x14ac:dyDescent="0.35">
      <c r="D91">
        <v>0.28999999999999998</v>
      </c>
      <c r="H91">
        <v>0.28999999999999998</v>
      </c>
      <c r="I91" s="25">
        <v>0.38</v>
      </c>
      <c r="J91">
        <f t="shared" si="4"/>
        <v>1.38</v>
      </c>
      <c r="K91">
        <f t="shared" si="5"/>
        <v>0.13987908640123647</v>
      </c>
      <c r="L91">
        <f t="shared" si="7"/>
        <v>85</v>
      </c>
      <c r="M91" s="23">
        <f t="shared" si="6"/>
        <v>0.82524271844660191</v>
      </c>
    </row>
    <row r="92" spans="4:13" x14ac:dyDescent="0.35">
      <c r="D92">
        <v>0.43</v>
      </c>
      <c r="H92">
        <v>0.43</v>
      </c>
      <c r="I92" s="25">
        <v>0.4</v>
      </c>
      <c r="J92">
        <f t="shared" si="4"/>
        <v>1.4</v>
      </c>
      <c r="K92">
        <f t="shared" si="5"/>
        <v>0.14612803567823801</v>
      </c>
      <c r="L92">
        <f t="shared" si="7"/>
        <v>86</v>
      </c>
      <c r="M92" s="23">
        <f t="shared" si="6"/>
        <v>0.83495145631067957</v>
      </c>
    </row>
    <row r="93" spans="4:13" x14ac:dyDescent="0.35">
      <c r="D93">
        <v>0.21</v>
      </c>
      <c r="H93">
        <v>0.21</v>
      </c>
      <c r="I93" s="25">
        <v>0.41</v>
      </c>
      <c r="J93">
        <f t="shared" si="4"/>
        <v>1.41</v>
      </c>
      <c r="K93">
        <f t="shared" si="5"/>
        <v>0.14921911265537988</v>
      </c>
      <c r="L93">
        <f t="shared" si="7"/>
        <v>87</v>
      </c>
      <c r="M93" s="23">
        <f t="shared" si="6"/>
        <v>0.84466019417475735</v>
      </c>
    </row>
    <row r="94" spans="4:13" x14ac:dyDescent="0.35">
      <c r="D94">
        <v>0.17</v>
      </c>
      <c r="H94">
        <v>0.17</v>
      </c>
      <c r="I94" s="25">
        <v>0.42</v>
      </c>
      <c r="J94">
        <f t="shared" si="4"/>
        <v>1.42</v>
      </c>
      <c r="K94">
        <f t="shared" si="5"/>
        <v>0.15228834438305647</v>
      </c>
      <c r="L94">
        <f t="shared" si="7"/>
        <v>88</v>
      </c>
      <c r="M94" s="23">
        <f t="shared" si="6"/>
        <v>0.85436893203883502</v>
      </c>
    </row>
    <row r="95" spans="4:13" x14ac:dyDescent="0.35">
      <c r="D95">
        <v>0.15</v>
      </c>
      <c r="H95">
        <v>0.15</v>
      </c>
      <c r="I95" s="25">
        <v>0.43</v>
      </c>
      <c r="J95">
        <f t="shared" si="4"/>
        <v>1.43</v>
      </c>
      <c r="K95">
        <f t="shared" si="5"/>
        <v>0.1553360374650618</v>
      </c>
      <c r="L95">
        <f t="shared" si="7"/>
        <v>89</v>
      </c>
      <c r="M95" s="23">
        <f t="shared" si="6"/>
        <v>0.86407766990291268</v>
      </c>
    </row>
    <row r="96" spans="4:13" x14ac:dyDescent="0.35">
      <c r="D96">
        <v>0.13</v>
      </c>
      <c r="H96">
        <v>0.13</v>
      </c>
      <c r="I96" s="25">
        <v>0.46</v>
      </c>
      <c r="J96">
        <f t="shared" si="4"/>
        <v>1.46</v>
      </c>
      <c r="K96">
        <f t="shared" si="5"/>
        <v>0.16435285578443709</v>
      </c>
      <c r="L96">
        <f t="shared" si="7"/>
        <v>90</v>
      </c>
      <c r="M96" s="23">
        <f t="shared" si="6"/>
        <v>0.87378640776699035</v>
      </c>
    </row>
    <row r="97" spans="4:13" x14ac:dyDescent="0.35">
      <c r="D97">
        <v>0.1</v>
      </c>
      <c r="H97">
        <v>0.1</v>
      </c>
      <c r="I97" s="25">
        <v>0.46</v>
      </c>
      <c r="J97">
        <f t="shared" si="4"/>
        <v>1.46</v>
      </c>
      <c r="K97">
        <f t="shared" si="5"/>
        <v>0.16435285578443709</v>
      </c>
      <c r="L97">
        <f t="shared" si="7"/>
        <v>91</v>
      </c>
      <c r="M97" s="23">
        <f t="shared" si="6"/>
        <v>0.8834951456310679</v>
      </c>
    </row>
    <row r="98" spans="4:13" x14ac:dyDescent="0.35">
      <c r="D98">
        <v>7.0000000000000007E-2</v>
      </c>
      <c r="H98">
        <v>7.0000000000000007E-2</v>
      </c>
      <c r="I98" s="25">
        <v>0.47</v>
      </c>
      <c r="J98">
        <f t="shared" si="4"/>
        <v>1.47</v>
      </c>
      <c r="K98">
        <f t="shared" si="5"/>
        <v>0.16731733474817609</v>
      </c>
      <c r="L98">
        <f t="shared" si="7"/>
        <v>92</v>
      </c>
      <c r="M98" s="23">
        <f t="shared" si="6"/>
        <v>0.89320388349514557</v>
      </c>
    </row>
    <row r="99" spans="4:13" x14ac:dyDescent="0.35">
      <c r="D99">
        <v>0.14000000000000001</v>
      </c>
      <c r="H99">
        <v>0.14000000000000001</v>
      </c>
      <c r="I99" s="25">
        <v>0.48</v>
      </c>
      <c r="J99">
        <f t="shared" si="4"/>
        <v>1.48</v>
      </c>
      <c r="K99">
        <f t="shared" si="5"/>
        <v>0.17026171539495738</v>
      </c>
      <c r="L99">
        <f t="shared" si="7"/>
        <v>93</v>
      </c>
      <c r="M99" s="23">
        <f t="shared" si="6"/>
        <v>0.90291262135922323</v>
      </c>
    </row>
    <row r="100" spans="4:13" x14ac:dyDescent="0.35">
      <c r="D100">
        <v>7.0000000000000007E-2</v>
      </c>
      <c r="H100">
        <v>7.0000000000000007E-2</v>
      </c>
      <c r="I100" s="25">
        <v>0.48</v>
      </c>
      <c r="J100">
        <f t="shared" si="4"/>
        <v>1.48</v>
      </c>
      <c r="K100">
        <f t="shared" si="5"/>
        <v>0.17026171539495738</v>
      </c>
      <c r="L100">
        <f t="shared" si="7"/>
        <v>94</v>
      </c>
      <c r="M100" s="23">
        <f t="shared" si="6"/>
        <v>0.91262135922330101</v>
      </c>
    </row>
    <row r="101" spans="4:13" x14ac:dyDescent="0.35">
      <c r="D101">
        <v>0.1</v>
      </c>
      <c r="H101">
        <v>0.1</v>
      </c>
      <c r="I101" s="25">
        <v>0.5</v>
      </c>
      <c r="J101">
        <f t="shared" si="4"/>
        <v>1.5</v>
      </c>
      <c r="K101">
        <f t="shared" si="5"/>
        <v>0.17609125905568124</v>
      </c>
      <c r="L101">
        <f t="shared" si="7"/>
        <v>95</v>
      </c>
      <c r="M101" s="23">
        <f t="shared" si="6"/>
        <v>0.92233009708737868</v>
      </c>
    </row>
    <row r="102" spans="4:13" x14ac:dyDescent="0.35">
      <c r="D102">
        <v>0.14000000000000001</v>
      </c>
      <c r="H102">
        <v>0.14000000000000001</v>
      </c>
      <c r="I102" s="25">
        <v>0.52</v>
      </c>
      <c r="J102">
        <f t="shared" si="4"/>
        <v>1.52</v>
      </c>
      <c r="K102">
        <f t="shared" si="5"/>
        <v>0.18184358794477254</v>
      </c>
      <c r="L102">
        <f t="shared" si="7"/>
        <v>96</v>
      </c>
      <c r="M102" s="23">
        <f t="shared" si="6"/>
        <v>0.93203883495145634</v>
      </c>
    </row>
    <row r="103" spans="4:13" x14ac:dyDescent="0.35">
      <c r="D103">
        <v>0.14000000000000001</v>
      </c>
      <c r="H103">
        <v>0.14000000000000001</v>
      </c>
      <c r="I103" s="25">
        <v>0.55000000000000004</v>
      </c>
      <c r="J103">
        <f t="shared" si="4"/>
        <v>1.55</v>
      </c>
      <c r="K103">
        <f t="shared" si="5"/>
        <v>0.1903316981702915</v>
      </c>
      <c r="L103">
        <f t="shared" si="7"/>
        <v>97</v>
      </c>
      <c r="M103" s="23">
        <f t="shared" si="6"/>
        <v>0.94174757281553401</v>
      </c>
    </row>
    <row r="104" spans="4:13" x14ac:dyDescent="0.35">
      <c r="D104">
        <v>0.13</v>
      </c>
      <c r="H104">
        <v>0.13</v>
      </c>
      <c r="I104" s="25">
        <v>0.55000000000000004</v>
      </c>
      <c r="J104">
        <f t="shared" si="4"/>
        <v>1.55</v>
      </c>
      <c r="K104">
        <f t="shared" si="5"/>
        <v>0.1903316981702915</v>
      </c>
      <c r="L104">
        <f t="shared" si="7"/>
        <v>98</v>
      </c>
      <c r="M104" s="23">
        <f t="shared" si="6"/>
        <v>0.95145631067961167</v>
      </c>
    </row>
    <row r="105" spans="4:13" x14ac:dyDescent="0.35">
      <c r="D105">
        <v>0.05</v>
      </c>
      <c r="H105">
        <v>0.05</v>
      </c>
      <c r="I105" s="25">
        <v>0.55000000000000004</v>
      </c>
      <c r="J105">
        <f t="shared" si="4"/>
        <v>1.55</v>
      </c>
      <c r="K105">
        <f t="shared" si="5"/>
        <v>0.1903316981702915</v>
      </c>
      <c r="L105">
        <f t="shared" si="7"/>
        <v>99</v>
      </c>
      <c r="M105" s="23">
        <f t="shared" si="6"/>
        <v>0.96116504854368923</v>
      </c>
    </row>
    <row r="106" spans="4:13" x14ac:dyDescent="0.35">
      <c r="D106">
        <v>0.04</v>
      </c>
      <c r="H106">
        <v>0.04</v>
      </c>
      <c r="I106" s="25">
        <v>0.56000000000000005</v>
      </c>
      <c r="J106">
        <f t="shared" si="4"/>
        <v>1.56</v>
      </c>
      <c r="K106">
        <f t="shared" si="5"/>
        <v>0.19312459835446161</v>
      </c>
      <c r="L106">
        <f t="shared" si="7"/>
        <v>100</v>
      </c>
      <c r="M106" s="23">
        <f t="shared" si="6"/>
        <v>0.970873786407767</v>
      </c>
    </row>
    <row r="107" spans="4:13" x14ac:dyDescent="0.35">
      <c r="D107">
        <v>0.05</v>
      </c>
      <c r="H107">
        <v>0.05</v>
      </c>
      <c r="I107" s="25">
        <v>0.6</v>
      </c>
      <c r="J107">
        <f t="shared" si="4"/>
        <v>1.6</v>
      </c>
      <c r="K107">
        <f t="shared" si="5"/>
        <v>0.20411998265592479</v>
      </c>
      <c r="L107">
        <f t="shared" si="7"/>
        <v>101</v>
      </c>
      <c r="M107" s="23">
        <f t="shared" si="6"/>
        <v>0.98058252427184467</v>
      </c>
    </row>
    <row r="108" spans="4:13" x14ac:dyDescent="0.35">
      <c r="D108">
        <v>0.08</v>
      </c>
      <c r="H108">
        <v>0.08</v>
      </c>
      <c r="I108" s="25">
        <v>0.65</v>
      </c>
      <c r="J108">
        <f t="shared" si="4"/>
        <v>1.65</v>
      </c>
      <c r="K108">
        <f t="shared" si="5"/>
        <v>0.21748394421390627</v>
      </c>
      <c r="L108">
        <f t="shared" si="7"/>
        <v>102</v>
      </c>
      <c r="M108" s="23">
        <f t="shared" si="6"/>
        <v>0.99029126213592233</v>
      </c>
    </row>
    <row r="109" spans="4:13" x14ac:dyDescent="0.35">
      <c r="D109">
        <v>0.05</v>
      </c>
      <c r="H109">
        <v>0.05</v>
      </c>
      <c r="I109" s="25">
        <v>11.9</v>
      </c>
      <c r="J109">
        <f t="shared" si="4"/>
        <v>12.9</v>
      </c>
      <c r="K109">
        <f t="shared" si="5"/>
        <v>1.110589710299249</v>
      </c>
      <c r="L109">
        <f t="shared" si="7"/>
        <v>103</v>
      </c>
      <c r="M109" s="23">
        <f t="shared" si="6"/>
        <v>1</v>
      </c>
    </row>
    <row r="111" spans="4:13" ht="15" x14ac:dyDescent="0.4">
      <c r="D111" s="6">
        <f>SUM(D7:D109)/103</f>
        <v>0.31922330097087381</v>
      </c>
    </row>
  </sheetData>
  <sortState ref="I7:I109">
    <sortCondition ref="I7:I109"/>
  </sortState>
  <phoneticPr fontId="1" type="noConversion"/>
  <pageMargins left="0.75" right="0.75" top="1" bottom="1" header="0.5" footer="0.5"/>
  <headerFooter alignWithMargins="0"/>
  <ignoredErrors>
    <ignoredError sqref="J3" numberStoredAsText="1"/>
  </ignoredErrors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0"/>
  <sheetViews>
    <sheetView topLeftCell="I2" workbookViewId="0">
      <selection activeCell="C20" sqref="C20"/>
    </sheetView>
  </sheetViews>
  <sheetFormatPr defaultRowHeight="12.75" x14ac:dyDescent="0.35"/>
  <cols>
    <col min="1" max="1" width="15.19921875" customWidth="1"/>
    <col min="2" max="2" width="9.53125" bestFit="1" customWidth="1"/>
  </cols>
  <sheetData>
    <row r="1" spans="1:42" x14ac:dyDescent="0.35">
      <c r="A1" t="s">
        <v>0</v>
      </c>
    </row>
    <row r="2" spans="1:42" x14ac:dyDescent="0.35">
      <c r="A2" t="s">
        <v>91</v>
      </c>
      <c r="K2" s="18" t="s">
        <v>173</v>
      </c>
    </row>
    <row r="3" spans="1:42" x14ac:dyDescent="0.35">
      <c r="A3" t="s">
        <v>4</v>
      </c>
      <c r="B3" s="3" t="s">
        <v>26</v>
      </c>
      <c r="C3" s="3" t="s">
        <v>57</v>
      </c>
      <c r="D3" s="3" t="s">
        <v>58</v>
      </c>
      <c r="E3" s="55" t="s">
        <v>450</v>
      </c>
      <c r="F3" s="55" t="s">
        <v>451</v>
      </c>
      <c r="G3" s="55" t="s">
        <v>452</v>
      </c>
      <c r="H3" s="3"/>
      <c r="J3" s="3"/>
      <c r="K3" s="17" t="s">
        <v>172</v>
      </c>
      <c r="L3" s="3"/>
      <c r="M3" s="3"/>
      <c r="N3" s="3"/>
      <c r="O3" s="3"/>
      <c r="P3" s="3"/>
      <c r="Q3" s="3"/>
      <c r="R3" s="3"/>
      <c r="S3" s="3"/>
      <c r="T3" s="3"/>
      <c r="AB3" s="18" t="s">
        <v>171</v>
      </c>
      <c r="AD3" s="18" t="s">
        <v>174</v>
      </c>
      <c r="AL3" s="16"/>
    </row>
    <row r="4" spans="1:42" x14ac:dyDescent="0.35">
      <c r="A4" t="s">
        <v>2</v>
      </c>
      <c r="B4">
        <v>436439</v>
      </c>
      <c r="C4">
        <v>480062</v>
      </c>
      <c r="D4">
        <v>479731</v>
      </c>
      <c r="E4">
        <v>359285</v>
      </c>
      <c r="F4">
        <v>355666</v>
      </c>
      <c r="G4">
        <v>358575</v>
      </c>
      <c r="K4" s="17" t="s">
        <v>26</v>
      </c>
      <c r="L4" s="17" t="s">
        <v>158</v>
      </c>
      <c r="M4" s="17" t="s">
        <v>169</v>
      </c>
      <c r="N4" s="3"/>
      <c r="O4" s="3"/>
      <c r="P4" s="3"/>
      <c r="Q4" s="3"/>
      <c r="R4" s="3"/>
      <c r="S4" s="3"/>
      <c r="T4" s="3"/>
      <c r="U4" s="3"/>
      <c r="AB4" s="18" t="s">
        <v>172</v>
      </c>
      <c r="AD4" s="18" t="s">
        <v>172</v>
      </c>
      <c r="AL4" s="16" t="s">
        <v>174</v>
      </c>
      <c r="AN4" s="16" t="s">
        <v>171</v>
      </c>
      <c r="AO4" s="16"/>
      <c r="AP4" s="35" t="s">
        <v>173</v>
      </c>
    </row>
    <row r="5" spans="1:42" x14ac:dyDescent="0.35">
      <c r="A5" t="s">
        <v>1</v>
      </c>
      <c r="B5">
        <v>5438581</v>
      </c>
      <c r="C5">
        <v>5440120</v>
      </c>
      <c r="D5">
        <v>5439155</v>
      </c>
      <c r="E5">
        <v>5407291</v>
      </c>
      <c r="F5">
        <v>5407141</v>
      </c>
      <c r="G5">
        <v>5407355</v>
      </c>
      <c r="T5" s="3"/>
      <c r="U5" s="3"/>
      <c r="V5" s="3"/>
      <c r="W5" s="3"/>
      <c r="X5" s="17" t="s">
        <v>34</v>
      </c>
      <c r="Y5" s="17" t="s">
        <v>169</v>
      </c>
      <c r="Z5" s="17" t="s">
        <v>159</v>
      </c>
      <c r="AA5" s="17" t="s">
        <v>158</v>
      </c>
      <c r="AB5" s="17" t="s">
        <v>88</v>
      </c>
      <c r="AD5" s="17" t="s">
        <v>170</v>
      </c>
      <c r="AE5" s="17" t="s">
        <v>158</v>
      </c>
      <c r="AF5" s="17" t="s">
        <v>159</v>
      </c>
      <c r="AG5" s="35" t="s">
        <v>160</v>
      </c>
      <c r="AH5" s="35" t="s">
        <v>34</v>
      </c>
      <c r="AI5" s="16"/>
      <c r="AJ5" s="16"/>
      <c r="AK5" s="16" t="s">
        <v>258</v>
      </c>
      <c r="AL5" s="16" t="s">
        <v>34</v>
      </c>
      <c r="AN5" s="35" t="s">
        <v>34</v>
      </c>
      <c r="AO5" s="16"/>
      <c r="AP5" s="35" t="s">
        <v>34</v>
      </c>
    </row>
    <row r="6" spans="1:42" x14ac:dyDescent="0.35">
      <c r="C6" t="s">
        <v>41</v>
      </c>
      <c r="G6" t="s">
        <v>92</v>
      </c>
      <c r="K6">
        <v>20.7</v>
      </c>
      <c r="L6">
        <v>112</v>
      </c>
      <c r="M6">
        <f>LOG10(L6)</f>
        <v>2.0492180226701815</v>
      </c>
      <c r="N6">
        <v>1</v>
      </c>
    </row>
    <row r="7" spans="1:42" x14ac:dyDescent="0.35">
      <c r="B7">
        <v>20.7</v>
      </c>
      <c r="C7">
        <v>0.59</v>
      </c>
      <c r="D7">
        <v>12.3</v>
      </c>
      <c r="E7">
        <v>19</v>
      </c>
      <c r="F7">
        <v>1.1299999999999999</v>
      </c>
      <c r="G7">
        <v>47.6</v>
      </c>
      <c r="K7">
        <v>30.7</v>
      </c>
      <c r="L7">
        <v>94.9</v>
      </c>
      <c r="M7">
        <f t="shared" ref="M7:M70" si="0">LOG10(L7)</f>
        <v>1.9772662124272926</v>
      </c>
      <c r="N7">
        <f>1+N6</f>
        <v>2</v>
      </c>
      <c r="X7">
        <v>1</v>
      </c>
      <c r="Y7">
        <f>LOG10(AA7)</f>
        <v>2.5263392773898441</v>
      </c>
      <c r="Z7">
        <f>1+AA7</f>
        <v>337</v>
      </c>
      <c r="AA7">
        <v>336</v>
      </c>
      <c r="AB7">
        <v>19</v>
      </c>
      <c r="AD7">
        <v>0.59</v>
      </c>
      <c r="AE7">
        <v>131</v>
      </c>
      <c r="AF7">
        <f>1+AE7</f>
        <v>132</v>
      </c>
      <c r="AG7">
        <f>LOG10(AE7)</f>
        <v>2.1172712956557644</v>
      </c>
      <c r="AH7">
        <v>1</v>
      </c>
      <c r="AI7" s="23">
        <f>AH7/29</f>
        <v>3.4482758620689655E-2</v>
      </c>
      <c r="AK7" s="39" t="s">
        <v>259</v>
      </c>
      <c r="AL7" s="40">
        <f>COUNTIF(AE$7:AE$35,"&gt;=0")-COUNTIF(AE$7:AE$35,"&gt;4.999")</f>
        <v>3</v>
      </c>
      <c r="AM7" s="41"/>
      <c r="AN7" s="40">
        <f>COUNTIF(AA$7:AA$108,"&gt;=0")-COUNTIF(AA$7:AA$108,"&gt;4.999")</f>
        <v>9</v>
      </c>
      <c r="AO7" s="41"/>
      <c r="AP7" s="40">
        <f>COUNTIF(L$6:L$91,"&gt;=0")-COUNTIF(L$6:L$91,"&gt;4.999")</f>
        <v>0</v>
      </c>
    </row>
    <row r="8" spans="1:42" x14ac:dyDescent="0.35">
      <c r="B8">
        <v>30.7</v>
      </c>
      <c r="C8">
        <v>7.55</v>
      </c>
      <c r="D8">
        <v>131</v>
      </c>
      <c r="E8">
        <v>26.2</v>
      </c>
      <c r="F8">
        <v>0.88</v>
      </c>
      <c r="G8">
        <v>17.2</v>
      </c>
      <c r="K8">
        <v>24.1</v>
      </c>
      <c r="L8" s="29">
        <v>70.599999999999994</v>
      </c>
      <c r="M8">
        <f t="shared" si="0"/>
        <v>1.8488047010518038</v>
      </c>
      <c r="N8">
        <f t="shared" ref="N8:N71" si="1">1+N7</f>
        <v>3</v>
      </c>
      <c r="X8">
        <f>1+X7</f>
        <v>2</v>
      </c>
      <c r="Y8">
        <f t="shared" ref="Y8:Y71" si="2">LOG10(AA8)</f>
        <v>2.3096301674258988</v>
      </c>
      <c r="Z8">
        <f t="shared" ref="Z8:Z71" si="3">1+AA8</f>
        <v>205</v>
      </c>
      <c r="AA8">
        <v>204</v>
      </c>
      <c r="AB8">
        <v>26.2</v>
      </c>
      <c r="AD8">
        <v>7.55</v>
      </c>
      <c r="AE8">
        <v>80.5</v>
      </c>
      <c r="AF8">
        <f t="shared" ref="AF8:AF35" si="4">1+AE8</f>
        <v>81.5</v>
      </c>
      <c r="AG8">
        <f t="shared" ref="AG8:AG35" si="5">LOG10(AE8)</f>
        <v>1.9057958803678685</v>
      </c>
      <c r="AH8">
        <f>1+AH7</f>
        <v>2</v>
      </c>
      <c r="AI8" s="23">
        <f t="shared" ref="AI8:AI35" si="6">AH8/29</f>
        <v>6.8965517241379309E-2</v>
      </c>
      <c r="AK8" s="39" t="s">
        <v>219</v>
      </c>
      <c r="AL8" s="40">
        <f>COUNTIF(AE$7:AE$35,"&gt;=5")-COUNTIF(AE$7:AE$35,"&gt;9.999")</f>
        <v>7</v>
      </c>
      <c r="AM8" s="41"/>
      <c r="AN8" s="40">
        <f>COUNTIF(AA$7:AA$108,"&gt;=5")-COUNTIF(AA$7:AA$108,"&gt;9.999")</f>
        <v>2</v>
      </c>
      <c r="AO8" s="41"/>
      <c r="AP8" s="40">
        <f>COUNTIF(L$6:L$91,"&gt;=5")-COUNTIF(L$6:L$91,"&gt;9.999")</f>
        <v>1</v>
      </c>
    </row>
    <row r="9" spans="1:42" x14ac:dyDescent="0.35">
      <c r="B9">
        <v>24.1</v>
      </c>
      <c r="C9">
        <v>9.76</v>
      </c>
      <c r="D9">
        <v>35.299999999999997</v>
      </c>
      <c r="E9">
        <v>51.8</v>
      </c>
      <c r="F9">
        <v>1.37</v>
      </c>
      <c r="G9">
        <v>15.1</v>
      </c>
      <c r="K9">
        <v>18.600000000000001</v>
      </c>
      <c r="L9" s="29">
        <v>68.400000000000006</v>
      </c>
      <c r="M9">
        <f t="shared" si="0"/>
        <v>1.8350561017201164</v>
      </c>
      <c r="N9">
        <f t="shared" si="1"/>
        <v>4</v>
      </c>
      <c r="X9">
        <f t="shared" ref="X9:X72" si="7">1+X8</f>
        <v>3</v>
      </c>
      <c r="Y9">
        <f t="shared" si="2"/>
        <v>2.1398790864012365</v>
      </c>
      <c r="Z9">
        <f t="shared" si="3"/>
        <v>139</v>
      </c>
      <c r="AA9">
        <v>138</v>
      </c>
      <c r="AB9">
        <v>51.8</v>
      </c>
      <c r="AD9">
        <v>9.76</v>
      </c>
      <c r="AE9" s="19">
        <v>51.5</v>
      </c>
      <c r="AF9" s="27">
        <f t="shared" si="4"/>
        <v>52.5</v>
      </c>
      <c r="AG9">
        <f t="shared" si="5"/>
        <v>1.711807229041191</v>
      </c>
      <c r="AH9">
        <f t="shared" ref="AH9:AH35" si="8">1+AH8</f>
        <v>3</v>
      </c>
      <c r="AI9" s="23">
        <f t="shared" si="6"/>
        <v>0.10344827586206896</v>
      </c>
      <c r="AK9" s="39" t="s">
        <v>220</v>
      </c>
      <c r="AL9" s="40">
        <f>COUNTIF(AE$7:AE$35,"&gt;=10")-COUNTIF(AE$7:AE$35,"&gt;14.999")</f>
        <v>3</v>
      </c>
      <c r="AM9" s="41"/>
      <c r="AN9" s="40">
        <f>COUNTIF(AA$7:AA$108,"&gt;=10")-COUNTIF(AA$7:AA$108,"&gt;14.999")</f>
        <v>1</v>
      </c>
      <c r="AO9" s="41"/>
      <c r="AP9" s="40">
        <f>COUNTIF(L$6:L$91,"&gt;=10")-COUNTIF(L$6:L$91,"&gt;14.999")</f>
        <v>2</v>
      </c>
    </row>
    <row r="10" spans="1:42" x14ac:dyDescent="0.35">
      <c r="B10">
        <v>18.600000000000001</v>
      </c>
      <c r="C10">
        <v>20.6</v>
      </c>
      <c r="D10">
        <v>51.5</v>
      </c>
      <c r="E10">
        <v>20</v>
      </c>
      <c r="F10">
        <v>1.82</v>
      </c>
      <c r="G10">
        <v>18.3</v>
      </c>
      <c r="K10">
        <v>36.200000000000003</v>
      </c>
      <c r="L10" s="29">
        <v>63.8</v>
      </c>
      <c r="M10">
        <f t="shared" si="0"/>
        <v>1.8048206787211623</v>
      </c>
      <c r="N10">
        <f t="shared" si="1"/>
        <v>5</v>
      </c>
      <c r="X10">
        <f t="shared" si="7"/>
        <v>4</v>
      </c>
      <c r="Y10">
        <f t="shared" si="2"/>
        <v>2.0755469613925306</v>
      </c>
      <c r="Z10">
        <f t="shared" si="3"/>
        <v>120</v>
      </c>
      <c r="AA10">
        <v>119</v>
      </c>
      <c r="AB10">
        <v>20</v>
      </c>
      <c r="AD10">
        <v>20.6</v>
      </c>
      <c r="AE10" s="19">
        <v>50</v>
      </c>
      <c r="AF10" s="27">
        <f t="shared" si="4"/>
        <v>51</v>
      </c>
      <c r="AG10">
        <f t="shared" si="5"/>
        <v>1.6989700043360187</v>
      </c>
      <c r="AH10">
        <f t="shared" si="8"/>
        <v>4</v>
      </c>
      <c r="AI10" s="23">
        <f t="shared" si="6"/>
        <v>0.13793103448275862</v>
      </c>
      <c r="AK10" s="39" t="s">
        <v>221</v>
      </c>
      <c r="AL10" s="40">
        <f>COUNTIF(AE$7:AE$35,"&gt;=15")-COUNTIF(AE$7:AE$35,"&gt;19.999")</f>
        <v>3</v>
      </c>
      <c r="AM10" s="41"/>
      <c r="AN10" s="40">
        <f>COUNTIF(AA$7:AA$108,"&gt;=15")-COUNTIF(AA$7:AA$108,"&gt;19.999")</f>
        <v>8</v>
      </c>
      <c r="AO10" s="41"/>
      <c r="AP10" s="40">
        <f>COUNTIF(L$6:L$91,"&gt;=15")-COUNTIF(L$6:L$91,"&gt;19.999")</f>
        <v>11</v>
      </c>
    </row>
    <row r="11" spans="1:42" x14ac:dyDescent="0.35">
      <c r="B11">
        <v>36.200000000000003</v>
      </c>
      <c r="C11">
        <v>16.7</v>
      </c>
      <c r="D11">
        <v>50</v>
      </c>
      <c r="E11">
        <v>17.899999999999999</v>
      </c>
      <c r="F11">
        <v>0.8</v>
      </c>
      <c r="G11">
        <v>5.55</v>
      </c>
      <c r="K11">
        <v>33.200000000000003</v>
      </c>
      <c r="L11" s="29">
        <v>57.1</v>
      </c>
      <c r="M11">
        <f t="shared" si="0"/>
        <v>1.7566361082458481</v>
      </c>
      <c r="N11">
        <f t="shared" si="1"/>
        <v>6</v>
      </c>
      <c r="X11">
        <f t="shared" si="7"/>
        <v>5</v>
      </c>
      <c r="Y11">
        <f t="shared" si="2"/>
        <v>2.0718820073061255</v>
      </c>
      <c r="Z11">
        <f t="shared" si="3"/>
        <v>119</v>
      </c>
      <c r="AA11">
        <v>118</v>
      </c>
      <c r="AB11">
        <v>17.899999999999999</v>
      </c>
      <c r="AD11">
        <v>16.7</v>
      </c>
      <c r="AE11" s="19">
        <v>46.5</v>
      </c>
      <c r="AF11" s="27">
        <f t="shared" si="4"/>
        <v>47.5</v>
      </c>
      <c r="AG11">
        <f t="shared" si="5"/>
        <v>1.667452952889954</v>
      </c>
      <c r="AH11">
        <f t="shared" si="8"/>
        <v>5</v>
      </c>
      <c r="AI11" s="23">
        <f t="shared" si="6"/>
        <v>0.17241379310344829</v>
      </c>
      <c r="AK11" s="39" t="s">
        <v>222</v>
      </c>
      <c r="AL11" s="40">
        <f>COUNTIF(AE$7:AE$35,"&gt;=20")-COUNTIF(AE$7:AE$35,"&gt;24.999")</f>
        <v>2</v>
      </c>
      <c r="AM11" s="41"/>
      <c r="AN11" s="40">
        <f>COUNTIF(AA$7:AA$108,"&gt;=20")-COUNTIF(AA$7:AA$108,"&gt;24.999")</f>
        <v>12</v>
      </c>
      <c r="AO11" s="41"/>
      <c r="AP11" s="40">
        <f>COUNTIF(L$6:L$91,"&gt;=20")-COUNTIF(L$6:L$91,"&gt;24.999")</f>
        <v>12</v>
      </c>
    </row>
    <row r="12" spans="1:42" x14ac:dyDescent="0.35">
      <c r="B12">
        <v>33.200000000000003</v>
      </c>
      <c r="C12">
        <v>16</v>
      </c>
      <c r="D12">
        <v>46.5</v>
      </c>
      <c r="E12">
        <v>21.9</v>
      </c>
      <c r="F12">
        <v>1.05</v>
      </c>
      <c r="G12">
        <v>7.11</v>
      </c>
      <c r="K12">
        <v>50.8</v>
      </c>
      <c r="L12" s="29">
        <v>56</v>
      </c>
      <c r="M12">
        <f t="shared" si="0"/>
        <v>1.7481880270062005</v>
      </c>
      <c r="N12">
        <f t="shared" si="1"/>
        <v>7</v>
      </c>
      <c r="X12">
        <f t="shared" si="7"/>
        <v>6</v>
      </c>
      <c r="Y12">
        <f t="shared" si="2"/>
        <v>1.9585638832219674</v>
      </c>
      <c r="Z12">
        <f t="shared" si="3"/>
        <v>91.9</v>
      </c>
      <c r="AA12" s="30">
        <v>90.9</v>
      </c>
      <c r="AB12">
        <v>21.9</v>
      </c>
      <c r="AD12">
        <v>16</v>
      </c>
      <c r="AE12" s="19">
        <v>41.8</v>
      </c>
      <c r="AF12" s="27">
        <f t="shared" si="4"/>
        <v>42.8</v>
      </c>
      <c r="AG12">
        <f t="shared" si="5"/>
        <v>1.6211762817750353</v>
      </c>
      <c r="AH12">
        <f t="shared" si="8"/>
        <v>6</v>
      </c>
      <c r="AI12" s="23">
        <f t="shared" si="6"/>
        <v>0.20689655172413793</v>
      </c>
      <c r="AK12" s="39" t="s">
        <v>223</v>
      </c>
      <c r="AL12" s="40">
        <f>COUNTIF(AE$7:AE$35,"&gt;=25")-COUNTIF(AE$7:AE$35,"&gt;29.999")</f>
        <v>3</v>
      </c>
      <c r="AM12" s="41"/>
      <c r="AN12" s="40">
        <f>COUNTIF(AA$7:AA$108,"&gt;=25")-COUNTIF(AA$7:AA$108,"&gt;29.999")</f>
        <v>6</v>
      </c>
      <c r="AO12" s="41"/>
      <c r="AP12" s="40">
        <f>COUNTIF(L$6:L$91,"&gt;=25")-COUNTIF(L$6:L$91,"&gt;29.999")</f>
        <v>9</v>
      </c>
    </row>
    <row r="13" spans="1:42" x14ac:dyDescent="0.35">
      <c r="B13">
        <v>50.8</v>
      </c>
      <c r="C13">
        <v>12.4</v>
      </c>
      <c r="D13">
        <v>16.7</v>
      </c>
      <c r="E13">
        <v>42.3</v>
      </c>
      <c r="F13">
        <v>1.63</v>
      </c>
      <c r="G13">
        <v>2.93</v>
      </c>
      <c r="K13">
        <v>51.4</v>
      </c>
      <c r="L13" s="29">
        <v>52.4</v>
      </c>
      <c r="M13">
        <f t="shared" si="0"/>
        <v>1.7193312869837267</v>
      </c>
      <c r="N13">
        <f t="shared" si="1"/>
        <v>8</v>
      </c>
      <c r="X13">
        <f t="shared" si="7"/>
        <v>7</v>
      </c>
      <c r="Y13">
        <f t="shared" si="2"/>
        <v>1.9518230353159121</v>
      </c>
      <c r="Z13">
        <f t="shared" si="3"/>
        <v>90.5</v>
      </c>
      <c r="AA13" s="30">
        <v>89.5</v>
      </c>
      <c r="AB13">
        <v>42.3</v>
      </c>
      <c r="AD13">
        <v>12.4</v>
      </c>
      <c r="AE13" s="19">
        <v>36.1</v>
      </c>
      <c r="AF13" s="27">
        <f t="shared" si="4"/>
        <v>37.1</v>
      </c>
      <c r="AG13">
        <f t="shared" si="5"/>
        <v>1.5575072019056579</v>
      </c>
      <c r="AH13">
        <f t="shared" si="8"/>
        <v>7</v>
      </c>
      <c r="AI13" s="23">
        <f t="shared" si="6"/>
        <v>0.2413793103448276</v>
      </c>
      <c r="AK13" s="39" t="s">
        <v>224</v>
      </c>
      <c r="AL13" s="40">
        <f>COUNTIF(AE$7:AE$35,"&gt;=30")-COUNTIF(AE$7:AE$35,"&gt;34.999")</f>
        <v>0</v>
      </c>
      <c r="AM13" s="41"/>
      <c r="AN13" s="40">
        <f>COUNTIF(AA$7:AA$108,"&gt;=30")-COUNTIF(AA$7:AA$108,"&gt;34.999")</f>
        <v>4</v>
      </c>
      <c r="AO13" s="41"/>
      <c r="AP13" s="40">
        <f>COUNTIF(L$6:L$91,"&gt;=30")-COUNTIF(L$6:L$91,"&gt;34.999")</f>
        <v>13</v>
      </c>
    </row>
    <row r="14" spans="1:42" x14ac:dyDescent="0.35">
      <c r="B14">
        <v>51.4</v>
      </c>
      <c r="C14">
        <v>6.36</v>
      </c>
      <c r="D14">
        <v>7.03</v>
      </c>
      <c r="E14">
        <v>21.9</v>
      </c>
      <c r="F14">
        <v>0.59</v>
      </c>
      <c r="G14">
        <v>15.1</v>
      </c>
      <c r="K14">
        <v>44.3</v>
      </c>
      <c r="L14" s="29">
        <v>51.6</v>
      </c>
      <c r="M14">
        <f t="shared" si="0"/>
        <v>1.7126497016272113</v>
      </c>
      <c r="N14">
        <f t="shared" si="1"/>
        <v>9</v>
      </c>
      <c r="X14">
        <f t="shared" si="7"/>
        <v>8</v>
      </c>
      <c r="Y14">
        <f t="shared" si="2"/>
        <v>1.9063350418050906</v>
      </c>
      <c r="Z14">
        <f t="shared" si="3"/>
        <v>81.599999999999994</v>
      </c>
      <c r="AA14" s="30">
        <v>80.599999999999994</v>
      </c>
      <c r="AB14">
        <v>21.9</v>
      </c>
      <c r="AD14">
        <v>6.36</v>
      </c>
      <c r="AE14" s="19">
        <v>35.299999999999997</v>
      </c>
      <c r="AF14" s="27">
        <f t="shared" si="4"/>
        <v>36.299999999999997</v>
      </c>
      <c r="AG14">
        <f t="shared" si="5"/>
        <v>1.5477747053878226</v>
      </c>
      <c r="AH14">
        <f t="shared" si="8"/>
        <v>8</v>
      </c>
      <c r="AI14" s="23">
        <f t="shared" si="6"/>
        <v>0.27586206896551724</v>
      </c>
      <c r="AK14" s="39" t="s">
        <v>225</v>
      </c>
      <c r="AL14" s="40">
        <f>COUNTIF(AE$7:AE$35,"&gt;=35")-COUNTIF(AE$7:AE$35,"&gt;39.999")</f>
        <v>2</v>
      </c>
      <c r="AM14" s="41"/>
      <c r="AN14" s="40">
        <f>COUNTIF(AA$7:AA$108,"&gt;=35")-COUNTIF(AA$7:AA$108,"&gt;39.999")</f>
        <v>8</v>
      </c>
      <c r="AO14" s="41"/>
      <c r="AP14" s="40">
        <f>COUNTIF(L$6:L$91,"&gt;=35")-COUNTIF(L$6:L$91,"&gt;39.999")</f>
        <v>12</v>
      </c>
    </row>
    <row r="15" spans="1:42" x14ac:dyDescent="0.35">
      <c r="B15">
        <v>44.3</v>
      </c>
      <c r="C15">
        <v>0.5</v>
      </c>
      <c r="D15">
        <v>41.8</v>
      </c>
      <c r="E15">
        <v>72.7</v>
      </c>
      <c r="F15">
        <v>1.89</v>
      </c>
      <c r="G15">
        <v>0.46</v>
      </c>
      <c r="K15">
        <v>38</v>
      </c>
      <c r="L15" s="29">
        <v>51.4</v>
      </c>
      <c r="M15">
        <f t="shared" si="0"/>
        <v>1.7109631189952756</v>
      </c>
      <c r="N15">
        <f t="shared" si="1"/>
        <v>10</v>
      </c>
      <c r="X15">
        <f t="shared" si="7"/>
        <v>9</v>
      </c>
      <c r="Y15">
        <f t="shared" si="2"/>
        <v>1.8915374576725645</v>
      </c>
      <c r="Z15">
        <f t="shared" si="3"/>
        <v>78.900000000000006</v>
      </c>
      <c r="AA15" s="30">
        <v>77.900000000000006</v>
      </c>
      <c r="AB15">
        <v>72.7</v>
      </c>
      <c r="AD15">
        <v>0.5</v>
      </c>
      <c r="AE15" s="19">
        <v>26.6</v>
      </c>
      <c r="AF15" s="27">
        <f t="shared" si="4"/>
        <v>27.6</v>
      </c>
      <c r="AG15">
        <f t="shared" si="5"/>
        <v>1.424881636631067</v>
      </c>
      <c r="AH15">
        <f t="shared" si="8"/>
        <v>9</v>
      </c>
      <c r="AI15" s="23">
        <f t="shared" si="6"/>
        <v>0.31034482758620691</v>
      </c>
      <c r="AK15" s="39" t="s">
        <v>226</v>
      </c>
      <c r="AL15" s="40">
        <f>COUNTIF(AE$7:AE$35,"&gt;=40")-COUNTIF(AE$7:AE$35,"&gt;44.999")</f>
        <v>1</v>
      </c>
      <c r="AM15" s="41"/>
      <c r="AN15" s="40">
        <f>COUNTIF(AA$7:AA$108,"&gt;=40")-COUNTIF(AA$7:AA$108,"&gt;44.999")</f>
        <v>10</v>
      </c>
      <c r="AO15" s="41"/>
      <c r="AP15" s="40">
        <f>COUNTIF(L$6:L$91,"&gt;=40")-COUNTIF(L$6:L$91,"&gt;44.999")</f>
        <v>9</v>
      </c>
    </row>
    <row r="16" spans="1:42" x14ac:dyDescent="0.35">
      <c r="B16">
        <v>38</v>
      </c>
      <c r="C16">
        <v>5.04</v>
      </c>
      <c r="D16">
        <v>25.7</v>
      </c>
      <c r="E16">
        <v>65.2</v>
      </c>
      <c r="F16">
        <v>2.09</v>
      </c>
      <c r="G16">
        <v>14.4</v>
      </c>
      <c r="K16">
        <v>11.9</v>
      </c>
      <c r="L16" s="29">
        <v>51.3</v>
      </c>
      <c r="M16">
        <f t="shared" si="0"/>
        <v>1.7101173651118162</v>
      </c>
      <c r="N16">
        <f t="shared" si="1"/>
        <v>11</v>
      </c>
      <c r="X16">
        <f t="shared" si="7"/>
        <v>10</v>
      </c>
      <c r="Y16">
        <f t="shared" si="2"/>
        <v>1.890979596989689</v>
      </c>
      <c r="Z16">
        <f t="shared" si="3"/>
        <v>78.8</v>
      </c>
      <c r="AA16" s="30">
        <v>77.8</v>
      </c>
      <c r="AB16">
        <v>65.2</v>
      </c>
      <c r="AD16">
        <v>5.04</v>
      </c>
      <c r="AE16" s="19">
        <v>25.8</v>
      </c>
      <c r="AF16" s="27">
        <f t="shared" si="4"/>
        <v>26.8</v>
      </c>
      <c r="AG16">
        <f t="shared" si="5"/>
        <v>1.4116197059632303</v>
      </c>
      <c r="AH16">
        <f t="shared" si="8"/>
        <v>10</v>
      </c>
      <c r="AI16" s="23">
        <f t="shared" si="6"/>
        <v>0.34482758620689657</v>
      </c>
      <c r="AK16" s="39" t="s">
        <v>227</v>
      </c>
      <c r="AL16" s="40">
        <f>COUNTIF(AE$7:AE$35,"&gt;=45")-COUNTIF(AE$7:AE$35,"&gt;49.999")</f>
        <v>1</v>
      </c>
      <c r="AM16" s="41"/>
      <c r="AN16" s="40">
        <f>COUNTIF(AA$7:AA$108,"&gt;=45")-COUNTIF(AA$7:AA$108,"&gt;49.999")</f>
        <v>5</v>
      </c>
      <c r="AO16" s="41"/>
      <c r="AP16" s="40">
        <f>COUNTIF(L$6:L$91,"&gt;=45")-COUNTIF(L$6:L$91,"&gt;49.999")</f>
        <v>5</v>
      </c>
    </row>
    <row r="17" spans="2:42" x14ac:dyDescent="0.35">
      <c r="B17">
        <v>11.9</v>
      </c>
      <c r="C17">
        <v>26.6</v>
      </c>
      <c r="D17">
        <v>25.8</v>
      </c>
      <c r="E17">
        <v>45.6</v>
      </c>
      <c r="F17">
        <v>7.84</v>
      </c>
      <c r="G17">
        <v>12.4</v>
      </c>
      <c r="K17">
        <v>94.9</v>
      </c>
      <c r="L17" s="29">
        <v>50.8</v>
      </c>
      <c r="M17">
        <f t="shared" si="0"/>
        <v>1.7058637122839193</v>
      </c>
      <c r="N17">
        <f t="shared" si="1"/>
        <v>12</v>
      </c>
      <c r="X17">
        <f t="shared" si="7"/>
        <v>11</v>
      </c>
      <c r="Y17">
        <f t="shared" si="2"/>
        <v>1.8898617212581883</v>
      </c>
      <c r="Z17">
        <f t="shared" si="3"/>
        <v>78.599999999999994</v>
      </c>
      <c r="AA17" s="30">
        <v>77.599999999999994</v>
      </c>
      <c r="AB17">
        <v>45.6</v>
      </c>
      <c r="AD17">
        <v>26.6</v>
      </c>
      <c r="AE17" s="19">
        <v>25.7</v>
      </c>
      <c r="AF17" s="27">
        <f t="shared" si="4"/>
        <v>26.7</v>
      </c>
      <c r="AG17">
        <f t="shared" si="5"/>
        <v>1.4099331233312946</v>
      </c>
      <c r="AH17">
        <f t="shared" si="8"/>
        <v>11</v>
      </c>
      <c r="AI17" s="23">
        <f t="shared" si="6"/>
        <v>0.37931034482758619</v>
      </c>
      <c r="AK17" s="39" t="s">
        <v>228</v>
      </c>
      <c r="AL17" s="40">
        <f>COUNTIF(AE$7:AE$35,"&gt;=50")-COUNTIF(AE$7:AE$35,"&gt;54.999")</f>
        <v>2</v>
      </c>
      <c r="AM17" s="41"/>
      <c r="AN17" s="40">
        <f>COUNTIF(AA$7:AA$108,"&gt;=50")-COUNTIF(AA$7:AA$108,"&gt;54.999")</f>
        <v>8</v>
      </c>
      <c r="AO17" s="41"/>
      <c r="AP17" s="40">
        <f>COUNTIF(L$6:L$91,"&gt;=50")-COUNTIF(L$6:L$91,"&gt;54.999")</f>
        <v>5</v>
      </c>
    </row>
    <row r="18" spans="2:42" x14ac:dyDescent="0.35">
      <c r="B18">
        <v>94.9</v>
      </c>
      <c r="C18">
        <v>11.3</v>
      </c>
      <c r="D18">
        <v>36.1</v>
      </c>
      <c r="E18">
        <v>43.3</v>
      </c>
      <c r="F18">
        <v>2.82</v>
      </c>
      <c r="G18">
        <v>16</v>
      </c>
      <c r="K18">
        <v>16.3</v>
      </c>
      <c r="L18" s="29">
        <v>49.7</v>
      </c>
      <c r="M18">
        <f t="shared" si="0"/>
        <v>1.6963563887333322</v>
      </c>
      <c r="N18">
        <f t="shared" si="1"/>
        <v>13</v>
      </c>
      <c r="X18">
        <f t="shared" si="7"/>
        <v>12</v>
      </c>
      <c r="Y18">
        <f t="shared" si="2"/>
        <v>1.884795363948981</v>
      </c>
      <c r="Z18">
        <f t="shared" si="3"/>
        <v>77.7</v>
      </c>
      <c r="AA18" s="30">
        <v>76.7</v>
      </c>
      <c r="AB18">
        <v>43.3</v>
      </c>
      <c r="AD18">
        <v>11.3</v>
      </c>
      <c r="AE18" s="19">
        <v>20.6</v>
      </c>
      <c r="AF18" s="27">
        <f t="shared" si="4"/>
        <v>21.6</v>
      </c>
      <c r="AG18">
        <f t="shared" si="5"/>
        <v>1.3138672203691535</v>
      </c>
      <c r="AH18">
        <f t="shared" si="8"/>
        <v>12</v>
      </c>
      <c r="AI18" s="23">
        <f t="shared" si="6"/>
        <v>0.41379310344827586</v>
      </c>
      <c r="AK18" s="39" t="s">
        <v>229</v>
      </c>
      <c r="AL18" s="40">
        <f>COUNTIF(AE$7:AE$35,"&gt;=55")-COUNTIF(AE$7:AE$35,"&gt;59.999")</f>
        <v>0</v>
      </c>
      <c r="AM18" s="41"/>
      <c r="AN18" s="40">
        <f>COUNTIF(AA$7:AA$108,"&gt;=55")-COUNTIF(AA$7:AA$108,"&gt;59.999")</f>
        <v>7</v>
      </c>
      <c r="AO18" s="41"/>
      <c r="AP18" s="40">
        <f>COUNTIF(L$6:L$91,"&gt;=55")-COUNTIF(L$6:L$91,"&gt;59.999")</f>
        <v>2</v>
      </c>
    </row>
    <row r="19" spans="2:42" x14ac:dyDescent="0.35">
      <c r="B19">
        <v>16.3</v>
      </c>
      <c r="C19">
        <v>7.13</v>
      </c>
      <c r="D19">
        <v>20.399999999999999</v>
      </c>
      <c r="E19">
        <v>23.5</v>
      </c>
      <c r="F19">
        <v>1.69</v>
      </c>
      <c r="G19">
        <v>16.2</v>
      </c>
      <c r="K19">
        <v>33.5</v>
      </c>
      <c r="L19" s="29">
        <v>48.5</v>
      </c>
      <c r="M19">
        <f t="shared" si="0"/>
        <v>1.6857417386022637</v>
      </c>
      <c r="N19">
        <f t="shared" si="1"/>
        <v>14</v>
      </c>
      <c r="X19">
        <f t="shared" si="7"/>
        <v>13</v>
      </c>
      <c r="Y19">
        <f t="shared" si="2"/>
        <v>1.8621313793130372</v>
      </c>
      <c r="Z19">
        <f t="shared" si="3"/>
        <v>73.8</v>
      </c>
      <c r="AA19" s="30">
        <v>72.8</v>
      </c>
      <c r="AB19">
        <v>23.5</v>
      </c>
      <c r="AD19">
        <v>7.13</v>
      </c>
      <c r="AE19" s="19">
        <v>20.399999999999999</v>
      </c>
      <c r="AF19" s="27">
        <f t="shared" si="4"/>
        <v>21.4</v>
      </c>
      <c r="AG19">
        <f t="shared" si="5"/>
        <v>1.3096301674258988</v>
      </c>
      <c r="AH19">
        <f t="shared" si="8"/>
        <v>13</v>
      </c>
      <c r="AI19" s="23">
        <f t="shared" si="6"/>
        <v>0.44827586206896552</v>
      </c>
      <c r="AK19" s="39" t="s">
        <v>260</v>
      </c>
      <c r="AL19" s="40">
        <f>COUNTIF(AE$7:AE$35,"&gt;=60")-COUNTIF(AE$7:AE$35,"&gt;64.999")</f>
        <v>0</v>
      </c>
      <c r="AM19" s="41"/>
      <c r="AN19" s="40">
        <f>COUNTIF(AA$7:AA$108,"&gt;=60")-COUNTIF(AA$7:AA$108,"&gt;64.999")</f>
        <v>4</v>
      </c>
      <c r="AO19" s="41"/>
      <c r="AP19" s="40">
        <f>COUNTIF(L$6:L$91,"&gt;=60")-COUNTIF(L$6:L$91,"&gt;64.999")</f>
        <v>1</v>
      </c>
    </row>
    <row r="20" spans="2:42" x14ac:dyDescent="0.35">
      <c r="B20">
        <v>33.5</v>
      </c>
      <c r="C20">
        <v>3.92</v>
      </c>
      <c r="D20">
        <v>6.61</v>
      </c>
      <c r="E20">
        <v>42.1</v>
      </c>
      <c r="F20">
        <v>0.61</v>
      </c>
      <c r="G20">
        <v>0.45</v>
      </c>
      <c r="K20">
        <v>28.3</v>
      </c>
      <c r="L20" s="29">
        <v>48.5</v>
      </c>
      <c r="M20">
        <f t="shared" si="0"/>
        <v>1.6857417386022637</v>
      </c>
      <c r="N20">
        <f t="shared" si="1"/>
        <v>15</v>
      </c>
      <c r="X20">
        <f t="shared" si="7"/>
        <v>14</v>
      </c>
      <c r="Y20">
        <f t="shared" si="2"/>
        <v>1.8615344108590379</v>
      </c>
      <c r="Z20">
        <f t="shared" si="3"/>
        <v>73.7</v>
      </c>
      <c r="AA20" s="30">
        <v>72.7</v>
      </c>
      <c r="AB20">
        <v>42.1</v>
      </c>
      <c r="AD20">
        <v>3.92</v>
      </c>
      <c r="AE20" s="19">
        <v>16.7</v>
      </c>
      <c r="AF20" s="27">
        <f t="shared" si="4"/>
        <v>17.7</v>
      </c>
      <c r="AG20">
        <f t="shared" si="5"/>
        <v>1.2227164711475833</v>
      </c>
      <c r="AH20">
        <f t="shared" si="8"/>
        <v>14</v>
      </c>
      <c r="AI20" s="23">
        <f t="shared" si="6"/>
        <v>0.48275862068965519</v>
      </c>
      <c r="AK20" s="39" t="s">
        <v>261</v>
      </c>
      <c r="AL20" s="40">
        <f>COUNTIF(AE$7:AE$35,"&gt;=65")-COUNTIF(AE$7:AE$35,"&gt;69.999")</f>
        <v>0</v>
      </c>
      <c r="AM20" s="41"/>
      <c r="AN20" s="40">
        <f>COUNTIF(AA$7:AA$108,"&gt;=65")-COUNTIF(AA$7:AA$108,"&gt;69.999")</f>
        <v>2</v>
      </c>
      <c r="AO20" s="41"/>
      <c r="AP20" s="40">
        <f>COUNTIF(L$6:L$91,"&gt;=65")-COUNTIF(L$6:L$91,"&gt;69.999")</f>
        <v>1</v>
      </c>
    </row>
    <row r="21" spans="2:42" x14ac:dyDescent="0.35">
      <c r="B21">
        <v>28.3</v>
      </c>
      <c r="D21">
        <v>80.5</v>
      </c>
      <c r="E21">
        <v>19.5</v>
      </c>
      <c r="F21">
        <v>1.1499999999999999</v>
      </c>
      <c r="G21">
        <v>35.6</v>
      </c>
      <c r="K21">
        <v>41</v>
      </c>
      <c r="L21" s="29">
        <v>47.9</v>
      </c>
      <c r="M21">
        <f t="shared" si="0"/>
        <v>1.6803355134145632</v>
      </c>
      <c r="N21">
        <f t="shared" si="1"/>
        <v>16</v>
      </c>
      <c r="X21">
        <f t="shared" si="7"/>
        <v>15</v>
      </c>
      <c r="Y21">
        <f t="shared" si="2"/>
        <v>1.8561244442423004</v>
      </c>
      <c r="Z21">
        <f t="shared" si="3"/>
        <v>72.8</v>
      </c>
      <c r="AA21" s="30">
        <v>71.8</v>
      </c>
      <c r="AB21">
        <v>19.5</v>
      </c>
      <c r="AD21">
        <v>12.3</v>
      </c>
      <c r="AE21" s="19">
        <v>16.7</v>
      </c>
      <c r="AF21" s="27">
        <f t="shared" si="4"/>
        <v>17.7</v>
      </c>
      <c r="AG21">
        <f t="shared" si="5"/>
        <v>1.2227164711475833</v>
      </c>
      <c r="AH21">
        <f t="shared" si="8"/>
        <v>15</v>
      </c>
      <c r="AI21" s="23">
        <f t="shared" si="6"/>
        <v>0.51724137931034486</v>
      </c>
      <c r="AK21" s="39" t="s">
        <v>262</v>
      </c>
      <c r="AL21" s="40">
        <f>COUNTIF(AE$7:AE$35,"&gt;=70")-COUNTIF(AE$7:AE$35,"&gt;74.999")</f>
        <v>0</v>
      </c>
      <c r="AM21" s="41"/>
      <c r="AN21" s="40">
        <f>COUNTIF(AA$7:AA$108,"&gt;=70")-COUNTIF(AA$7:AA$108,"&gt;74.999")</f>
        <v>4</v>
      </c>
      <c r="AO21" s="41"/>
      <c r="AP21" s="40">
        <f>COUNTIF(L$6:L$91,"&gt;=70")-COUNTIF(L$6:L$91,"&gt;74.999")</f>
        <v>1</v>
      </c>
    </row>
    <row r="22" spans="2:42" x14ac:dyDescent="0.35">
      <c r="B22">
        <v>41</v>
      </c>
      <c r="E22">
        <v>16.8</v>
      </c>
      <c r="F22">
        <v>1.32</v>
      </c>
      <c r="G22">
        <v>2.59</v>
      </c>
      <c r="K22">
        <v>45</v>
      </c>
      <c r="L22" s="29">
        <v>45</v>
      </c>
      <c r="M22">
        <f t="shared" si="0"/>
        <v>1.6532125137753437</v>
      </c>
      <c r="N22">
        <f t="shared" si="1"/>
        <v>17</v>
      </c>
      <c r="X22">
        <f t="shared" si="7"/>
        <v>16</v>
      </c>
      <c r="Y22">
        <f t="shared" si="2"/>
        <v>1.8475726591421122</v>
      </c>
      <c r="Z22">
        <f t="shared" si="3"/>
        <v>71.400000000000006</v>
      </c>
      <c r="AA22" s="30">
        <v>70.400000000000006</v>
      </c>
      <c r="AB22">
        <v>16.8</v>
      </c>
      <c r="AD22">
        <v>131</v>
      </c>
      <c r="AE22" s="19">
        <v>16</v>
      </c>
      <c r="AF22" s="27">
        <f t="shared" si="4"/>
        <v>17</v>
      </c>
      <c r="AG22">
        <f t="shared" si="5"/>
        <v>1.2041199826559248</v>
      </c>
      <c r="AH22">
        <f t="shared" si="8"/>
        <v>16</v>
      </c>
      <c r="AI22" s="23">
        <f t="shared" si="6"/>
        <v>0.55172413793103448</v>
      </c>
      <c r="AK22" s="39" t="s">
        <v>263</v>
      </c>
      <c r="AL22" s="40">
        <f>COUNTIF(AE$7:AE$35,"&gt;=75")-COUNTIF(AE$7:AE$35,"&gt;79.999")</f>
        <v>0</v>
      </c>
      <c r="AM22" s="41"/>
      <c r="AN22" s="40">
        <f>COUNTIF(AA$7:AA$108,"&gt;=75")-COUNTIF(AA$7:AA$108,"&gt;79.999")</f>
        <v>4</v>
      </c>
      <c r="AO22" s="41"/>
      <c r="AP22" s="40">
        <f>COUNTIF(L$6:L$91,"&gt;=75")-COUNTIF(L$6:L$91,"&gt;79.999")</f>
        <v>0</v>
      </c>
    </row>
    <row r="23" spans="2:42" x14ac:dyDescent="0.35">
      <c r="B23">
        <v>45</v>
      </c>
      <c r="E23">
        <v>35.4</v>
      </c>
      <c r="F23">
        <v>0.72</v>
      </c>
      <c r="G23">
        <v>0.46</v>
      </c>
      <c r="K23">
        <v>29.1</v>
      </c>
      <c r="L23" s="29">
        <v>44.7</v>
      </c>
      <c r="M23">
        <f t="shared" si="0"/>
        <v>1.6503075231319364</v>
      </c>
      <c r="N23">
        <f t="shared" si="1"/>
        <v>18</v>
      </c>
      <c r="X23">
        <f t="shared" si="7"/>
        <v>17</v>
      </c>
      <c r="Y23">
        <f t="shared" si="2"/>
        <v>1.8375884382355112</v>
      </c>
      <c r="Z23">
        <f t="shared" si="3"/>
        <v>69.8</v>
      </c>
      <c r="AA23" s="30">
        <v>68.8</v>
      </c>
      <c r="AB23">
        <v>35.4</v>
      </c>
      <c r="AD23">
        <v>35.299999999999997</v>
      </c>
      <c r="AE23" s="19">
        <v>12.4</v>
      </c>
      <c r="AF23" s="27">
        <f t="shared" si="4"/>
        <v>13.4</v>
      </c>
      <c r="AG23">
        <f t="shared" si="5"/>
        <v>1.0934216851622351</v>
      </c>
      <c r="AH23">
        <f t="shared" si="8"/>
        <v>17</v>
      </c>
      <c r="AI23" s="23">
        <f t="shared" si="6"/>
        <v>0.58620689655172409</v>
      </c>
      <c r="AK23" s="39" t="s">
        <v>264</v>
      </c>
      <c r="AL23" s="40">
        <f>COUNTIF(AE$7:AE$35,"&gt;=80")-COUNTIF(AE$7:AE$35,"&gt;84.999")</f>
        <v>1</v>
      </c>
      <c r="AM23" s="41"/>
      <c r="AN23" s="40">
        <f>COUNTIF(AA$7:AA$108,"&gt;=80")-COUNTIF(AA$7:AA$108,"&gt;84.999")</f>
        <v>1</v>
      </c>
      <c r="AO23" s="41"/>
      <c r="AP23" s="40">
        <f>COUNTIF(L$6:L$91,"&gt;=80")-COUNTIF(L$6:L$91,"&gt;84.999")</f>
        <v>0</v>
      </c>
    </row>
    <row r="24" spans="2:42" x14ac:dyDescent="0.35">
      <c r="B24">
        <v>29.1</v>
      </c>
      <c r="E24">
        <v>45</v>
      </c>
      <c r="F24">
        <v>0.73</v>
      </c>
      <c r="G24">
        <v>1.42</v>
      </c>
      <c r="K24">
        <v>15.8</v>
      </c>
      <c r="L24" s="29">
        <v>44.6</v>
      </c>
      <c r="M24">
        <f t="shared" si="0"/>
        <v>1.6493348587121419</v>
      </c>
      <c r="N24">
        <f t="shared" si="1"/>
        <v>19</v>
      </c>
      <c r="X24">
        <f t="shared" si="7"/>
        <v>18</v>
      </c>
      <c r="Y24">
        <f t="shared" si="2"/>
        <v>1.8142475957319202</v>
      </c>
      <c r="Z24">
        <f t="shared" si="3"/>
        <v>66.2</v>
      </c>
      <c r="AA24" s="30">
        <v>65.2</v>
      </c>
      <c r="AB24">
        <v>45</v>
      </c>
      <c r="AD24">
        <v>51.5</v>
      </c>
      <c r="AE24" s="19">
        <v>12.3</v>
      </c>
      <c r="AF24" s="27">
        <f t="shared" si="4"/>
        <v>13.3</v>
      </c>
      <c r="AG24">
        <f t="shared" si="5"/>
        <v>1.0899051114393981</v>
      </c>
      <c r="AH24">
        <f t="shared" si="8"/>
        <v>18</v>
      </c>
      <c r="AI24" s="23">
        <f t="shared" si="6"/>
        <v>0.62068965517241381</v>
      </c>
      <c r="AK24" s="39" t="s">
        <v>265</v>
      </c>
      <c r="AL24" s="40">
        <f>COUNTIF(AE$7:AE$35,"&gt;=85")-COUNTIF(AE$7:AE$35,"&gt;89.999")</f>
        <v>0</v>
      </c>
      <c r="AM24" s="41"/>
      <c r="AN24" s="40">
        <f>COUNTIF(AA$7:AA$108,"&gt;=85")-COUNTIF(AA$7:AA$108,"&gt;89.999")</f>
        <v>1</v>
      </c>
      <c r="AO24" s="41"/>
      <c r="AP24" s="40">
        <f>COUNTIF(L$6:L$91,"&gt;=85")-COUNTIF(L$6:L$91,"&gt;89.999")</f>
        <v>0</v>
      </c>
    </row>
    <row r="25" spans="2:42" x14ac:dyDescent="0.35">
      <c r="B25">
        <v>15.8</v>
      </c>
      <c r="E25">
        <v>20.100000000000001</v>
      </c>
      <c r="F25">
        <v>0.64</v>
      </c>
      <c r="G25">
        <v>2.95</v>
      </c>
      <c r="K25">
        <v>57.1</v>
      </c>
      <c r="L25" s="29">
        <v>44.3</v>
      </c>
      <c r="M25">
        <f t="shared" si="0"/>
        <v>1.6464037262230695</v>
      </c>
      <c r="N25">
        <f t="shared" si="1"/>
        <v>20</v>
      </c>
      <c r="X25">
        <f t="shared" si="7"/>
        <v>19</v>
      </c>
      <c r="Y25">
        <f t="shared" si="2"/>
        <v>1.8115750058705933</v>
      </c>
      <c r="Z25">
        <f t="shared" si="3"/>
        <v>65.8</v>
      </c>
      <c r="AA25" s="30">
        <v>64.8</v>
      </c>
      <c r="AB25">
        <v>20.100000000000001</v>
      </c>
      <c r="AD25">
        <v>50</v>
      </c>
      <c r="AE25" s="19">
        <v>11.3</v>
      </c>
      <c r="AF25" s="27">
        <f t="shared" si="4"/>
        <v>12.3</v>
      </c>
      <c r="AG25">
        <f t="shared" si="5"/>
        <v>1.0530784434834197</v>
      </c>
      <c r="AH25">
        <f t="shared" si="8"/>
        <v>19</v>
      </c>
      <c r="AI25" s="23">
        <f t="shared" si="6"/>
        <v>0.65517241379310343</v>
      </c>
      <c r="AK25" s="39" t="s">
        <v>266</v>
      </c>
      <c r="AL25" s="40">
        <f>COUNTIF(AE$7:AE$35,"&gt;=90")-COUNTIF(AE$7:AE$35,"&gt;94.999")</f>
        <v>0</v>
      </c>
      <c r="AM25" s="41"/>
      <c r="AN25" s="40">
        <f>COUNTIF(AA$7:AA$108,"&gt;=90")-COUNTIF(AA$7:AA$108,"&gt;94.999")</f>
        <v>1</v>
      </c>
      <c r="AO25" s="41"/>
      <c r="AP25" s="40">
        <f>COUNTIF(L$6:L$91,"&gt;=90")-COUNTIF(L$6:L$91,"&gt;94.999")</f>
        <v>1</v>
      </c>
    </row>
    <row r="26" spans="2:42" ht="15" x14ac:dyDescent="0.4">
      <c r="B26">
        <v>57.1</v>
      </c>
      <c r="C26" s="6">
        <f>SUM(C7:C20)/14</f>
        <v>10.317857142857145</v>
      </c>
      <c r="D26" s="6">
        <f>SUM(D7:D21)/15</f>
        <v>39.149333333333331</v>
      </c>
      <c r="E26">
        <v>20.8</v>
      </c>
      <c r="F26">
        <v>1.1100000000000001</v>
      </c>
      <c r="G26">
        <v>23.3</v>
      </c>
      <c r="K26">
        <v>47.9</v>
      </c>
      <c r="L26" s="29">
        <v>44</v>
      </c>
      <c r="M26">
        <f t="shared" si="0"/>
        <v>1.6434526764861874</v>
      </c>
      <c r="N26">
        <f t="shared" si="1"/>
        <v>21</v>
      </c>
      <c r="X26">
        <f t="shared" si="7"/>
        <v>20</v>
      </c>
      <c r="Y26">
        <f t="shared" si="2"/>
        <v>1.8027737252919758</v>
      </c>
      <c r="Z26">
        <f t="shared" si="3"/>
        <v>64.5</v>
      </c>
      <c r="AA26" s="30">
        <v>63.5</v>
      </c>
      <c r="AB26">
        <v>20.8</v>
      </c>
      <c r="AD26">
        <v>46.5</v>
      </c>
      <c r="AE26" s="19">
        <v>9.76</v>
      </c>
      <c r="AF26" s="27">
        <f t="shared" si="4"/>
        <v>10.76</v>
      </c>
      <c r="AG26">
        <f t="shared" si="5"/>
        <v>0.98944981766669182</v>
      </c>
      <c r="AH26">
        <f t="shared" si="8"/>
        <v>20</v>
      </c>
      <c r="AI26" s="23">
        <f t="shared" si="6"/>
        <v>0.68965517241379315</v>
      </c>
      <c r="AK26" s="39" t="s">
        <v>267</v>
      </c>
      <c r="AL26" s="40">
        <f>COUNTIF(AE$7:AE$35,"&gt;=95")-COUNTIF(AE$7:AE$35,"&gt;99.999")</f>
        <v>0</v>
      </c>
      <c r="AM26" s="41"/>
      <c r="AN26" s="40">
        <f>COUNTIF(AA$7:AA$108,"&gt;=95")-COUNTIF(AA$7:AA$108,"&gt;99.999")</f>
        <v>0</v>
      </c>
      <c r="AO26" s="41"/>
      <c r="AP26" s="40">
        <f>COUNTIF(L$6:L$91,"&gt;=95")-COUNTIF(L$6:L$91,"&gt;99.999")</f>
        <v>0</v>
      </c>
    </row>
    <row r="27" spans="2:42" ht="13.15" x14ac:dyDescent="0.35">
      <c r="B27">
        <v>47.9</v>
      </c>
      <c r="E27">
        <v>27.5</v>
      </c>
      <c r="F27">
        <v>0.97</v>
      </c>
      <c r="G27">
        <v>3.91</v>
      </c>
      <c r="K27">
        <v>70.599999999999994</v>
      </c>
      <c r="L27" s="29">
        <v>42.6</v>
      </c>
      <c r="M27">
        <f t="shared" si="0"/>
        <v>1.6294095991027189</v>
      </c>
      <c r="N27">
        <f t="shared" si="1"/>
        <v>22</v>
      </c>
      <c r="X27">
        <f t="shared" si="7"/>
        <v>21</v>
      </c>
      <c r="Y27">
        <f t="shared" si="2"/>
        <v>1.7965743332104296</v>
      </c>
      <c r="Z27">
        <f t="shared" si="3"/>
        <v>63.6</v>
      </c>
      <c r="AA27" s="30">
        <v>62.6</v>
      </c>
      <c r="AB27">
        <v>27.5</v>
      </c>
      <c r="AD27">
        <v>16.7</v>
      </c>
      <c r="AE27" s="19">
        <v>7.55</v>
      </c>
      <c r="AF27" s="27">
        <f t="shared" si="4"/>
        <v>8.5500000000000007</v>
      </c>
      <c r="AG27">
        <f t="shared" si="5"/>
        <v>0.87794695162918823</v>
      </c>
      <c r="AH27">
        <f t="shared" si="8"/>
        <v>21</v>
      </c>
      <c r="AI27" s="23">
        <f t="shared" si="6"/>
        <v>0.72413793103448276</v>
      </c>
      <c r="AK27" s="42" t="s">
        <v>268</v>
      </c>
      <c r="AL27" s="40">
        <f>COUNTIF(AE$7:AE$35,"&gt;=100")-COUNTIF(AE$7:AE$35,"&gt;109.999")</f>
        <v>0</v>
      </c>
      <c r="AM27" s="41"/>
      <c r="AN27" s="40">
        <f>COUNTIF(AA$7:AA$108,"&gt;=100")-COUNTIF(AA$7:AA$108,"&gt;109.999")</f>
        <v>0</v>
      </c>
      <c r="AO27" s="41"/>
      <c r="AP27" s="40">
        <f>COUNTIF(L$6:L$91,"&gt;=100")-COUNTIF(L$6:L$91,"&gt;109.999")</f>
        <v>0</v>
      </c>
    </row>
    <row r="28" spans="2:42" ht="13.15" x14ac:dyDescent="0.35">
      <c r="B28">
        <v>70.599999999999994</v>
      </c>
      <c r="E28">
        <v>63.5</v>
      </c>
      <c r="F28">
        <v>0.73</v>
      </c>
      <c r="G28">
        <v>6.76</v>
      </c>
      <c r="K28">
        <v>23.6</v>
      </c>
      <c r="L28" s="29">
        <v>42.6</v>
      </c>
      <c r="M28">
        <f t="shared" si="0"/>
        <v>1.6294095991027189</v>
      </c>
      <c r="N28">
        <f t="shared" si="1"/>
        <v>23</v>
      </c>
      <c r="X28">
        <f t="shared" si="7"/>
        <v>22</v>
      </c>
      <c r="Y28">
        <f t="shared" si="2"/>
        <v>1.7860412102425542</v>
      </c>
      <c r="Z28">
        <f t="shared" si="3"/>
        <v>62.1</v>
      </c>
      <c r="AA28" s="30">
        <v>61.1</v>
      </c>
      <c r="AB28">
        <v>63.5</v>
      </c>
      <c r="AD28">
        <v>7.03</v>
      </c>
      <c r="AE28" s="19">
        <v>7.13</v>
      </c>
      <c r="AF28" s="27">
        <f t="shared" si="4"/>
        <v>8.129999999999999</v>
      </c>
      <c r="AG28">
        <f t="shared" si="5"/>
        <v>0.85308952985186559</v>
      </c>
      <c r="AH28">
        <f t="shared" si="8"/>
        <v>22</v>
      </c>
      <c r="AI28" s="23">
        <f t="shared" si="6"/>
        <v>0.75862068965517238</v>
      </c>
      <c r="AK28" s="42" t="s">
        <v>269</v>
      </c>
      <c r="AL28" s="40">
        <f>COUNTIF(AE$7:AE$35,"&gt;=110")-COUNTIF(AE$7:AE$35,"&gt;119.999")</f>
        <v>0</v>
      </c>
      <c r="AM28" s="41"/>
      <c r="AN28" s="40">
        <f>COUNTIF(AA$7:AA$108,"&gt;=110")-COUNTIF(AA$7:AA$108,"&gt;119.999")</f>
        <v>2</v>
      </c>
      <c r="AO28" s="41"/>
      <c r="AP28" s="40">
        <f>COUNTIF(L$6:L$91,"&gt;=110")-COUNTIF(L$6:L$91,"&gt;119.999")</f>
        <v>1</v>
      </c>
    </row>
    <row r="29" spans="2:42" ht="13.15" x14ac:dyDescent="0.35">
      <c r="B29">
        <v>23.6</v>
      </c>
      <c r="E29">
        <v>13.8</v>
      </c>
      <c r="F29">
        <v>4.24</v>
      </c>
      <c r="G29">
        <v>2.71</v>
      </c>
      <c r="K29">
        <v>14.2</v>
      </c>
      <c r="L29" s="29">
        <v>42.6</v>
      </c>
      <c r="M29">
        <f t="shared" si="0"/>
        <v>1.6294095991027189</v>
      </c>
      <c r="N29">
        <f t="shared" si="1"/>
        <v>24</v>
      </c>
      <c r="P29" s="33" t="s">
        <v>175</v>
      </c>
      <c r="Q29" s="30"/>
      <c r="R29" s="30"/>
      <c r="S29" s="30"/>
      <c r="T29" s="30"/>
      <c r="X29">
        <f t="shared" si="7"/>
        <v>23</v>
      </c>
      <c r="Y29">
        <f t="shared" si="2"/>
        <v>1.7730546933642626</v>
      </c>
      <c r="Z29">
        <f t="shared" si="3"/>
        <v>60.3</v>
      </c>
      <c r="AA29" s="30">
        <v>59.3</v>
      </c>
      <c r="AB29">
        <v>13.8</v>
      </c>
      <c r="AD29">
        <v>41.8</v>
      </c>
      <c r="AE29" s="19">
        <v>7.03</v>
      </c>
      <c r="AF29" s="27">
        <f t="shared" si="4"/>
        <v>8.0300000000000011</v>
      </c>
      <c r="AG29">
        <f t="shared" si="5"/>
        <v>0.84695532501982396</v>
      </c>
      <c r="AH29">
        <f t="shared" si="8"/>
        <v>23</v>
      </c>
      <c r="AI29" s="23">
        <f t="shared" si="6"/>
        <v>0.7931034482758621</v>
      </c>
      <c r="AK29" s="42" t="s">
        <v>270</v>
      </c>
      <c r="AL29" s="40">
        <f>COUNTIF(AE$7:AE$35,"&gt;=120")-COUNTIF(AE$7:AE$35,"&gt;129.999")</f>
        <v>0</v>
      </c>
      <c r="AM29" s="41"/>
      <c r="AN29" s="40">
        <f>COUNTIF(AA$7:AA$108,"&gt;=120")-COUNTIF(AA$7:AA$108,"&gt;129.999")</f>
        <v>0</v>
      </c>
      <c r="AO29" s="41"/>
      <c r="AP29" s="40">
        <f>COUNTIF(L$6:L$91,"&gt;=120")-COUNTIF(L$6:L$91,"&gt;129.999")</f>
        <v>0</v>
      </c>
    </row>
    <row r="30" spans="2:42" ht="13.15" x14ac:dyDescent="0.35">
      <c r="B30">
        <v>14.2</v>
      </c>
      <c r="E30">
        <v>18.100000000000001</v>
      </c>
      <c r="F30">
        <v>1.5</v>
      </c>
      <c r="G30">
        <v>0.97</v>
      </c>
      <c r="K30">
        <v>16.2</v>
      </c>
      <c r="L30" s="29">
        <v>42.5</v>
      </c>
      <c r="M30">
        <f t="shared" si="0"/>
        <v>1.6283889300503116</v>
      </c>
      <c r="N30">
        <f t="shared" si="1"/>
        <v>25</v>
      </c>
      <c r="P30" s="33" t="s">
        <v>180</v>
      </c>
      <c r="Q30" s="30"/>
      <c r="R30" s="30"/>
      <c r="S30" s="30"/>
      <c r="T30" s="30"/>
      <c r="X30">
        <f t="shared" si="7"/>
        <v>24</v>
      </c>
      <c r="Y30">
        <f t="shared" si="2"/>
        <v>1.7573960287930241</v>
      </c>
      <c r="Z30">
        <f t="shared" si="3"/>
        <v>58.2</v>
      </c>
      <c r="AA30" s="30">
        <v>57.2</v>
      </c>
      <c r="AB30">
        <v>18.100000000000001</v>
      </c>
      <c r="AD30">
        <v>25.7</v>
      </c>
      <c r="AE30" s="19">
        <v>6.61</v>
      </c>
      <c r="AF30" s="27">
        <f t="shared" si="4"/>
        <v>7.61</v>
      </c>
      <c r="AG30">
        <f t="shared" si="5"/>
        <v>0.82020145948564027</v>
      </c>
      <c r="AH30">
        <f t="shared" si="8"/>
        <v>24</v>
      </c>
      <c r="AI30" s="23">
        <f t="shared" si="6"/>
        <v>0.82758620689655171</v>
      </c>
      <c r="AK30" s="42" t="s">
        <v>271</v>
      </c>
      <c r="AL30" s="40">
        <f>COUNTIF(AE$7:AE$35,"&gt;=130")-COUNTIF(AE$7:AE$35,"&gt;139.999")</f>
        <v>1</v>
      </c>
      <c r="AM30" s="41"/>
      <c r="AN30" s="40">
        <f>COUNTIF(AA$7:AA$108,"&gt;=130")-COUNTIF(AA$7:AA$108,"&gt;139.999")</f>
        <v>1</v>
      </c>
      <c r="AO30" s="41"/>
      <c r="AP30" s="40">
        <f>COUNTIF(L$6:L$91,"&gt;=130")-COUNTIF(L$6:L$91,"&gt;139.999")</f>
        <v>0</v>
      </c>
    </row>
    <row r="31" spans="2:42" ht="13.15" x14ac:dyDescent="0.35">
      <c r="B31">
        <v>16.2</v>
      </c>
      <c r="E31">
        <v>34.299999999999997</v>
      </c>
      <c r="F31">
        <v>8.09</v>
      </c>
      <c r="K31">
        <v>56</v>
      </c>
      <c r="L31" s="29">
        <v>41</v>
      </c>
      <c r="M31">
        <f t="shared" si="0"/>
        <v>1.6127838567197355</v>
      </c>
      <c r="N31">
        <f t="shared" si="1"/>
        <v>26</v>
      </c>
      <c r="P31" s="33" t="s">
        <v>181</v>
      </c>
      <c r="Q31" s="30"/>
      <c r="R31" s="30"/>
      <c r="S31" s="30"/>
      <c r="T31" s="30"/>
      <c r="X31">
        <f t="shared" si="7"/>
        <v>25</v>
      </c>
      <c r="Y31">
        <f t="shared" si="2"/>
        <v>1.7512791039833422</v>
      </c>
      <c r="Z31">
        <f t="shared" si="3"/>
        <v>57.4</v>
      </c>
      <c r="AA31" s="30">
        <v>56.4</v>
      </c>
      <c r="AB31">
        <v>34.299999999999997</v>
      </c>
      <c r="AD31">
        <v>25.8</v>
      </c>
      <c r="AE31" s="19">
        <v>6.36</v>
      </c>
      <c r="AF31" s="27">
        <f t="shared" si="4"/>
        <v>7.36</v>
      </c>
      <c r="AG31">
        <f t="shared" si="5"/>
        <v>0.80345711564841393</v>
      </c>
      <c r="AH31">
        <f t="shared" si="8"/>
        <v>25</v>
      </c>
      <c r="AI31" s="23">
        <f t="shared" si="6"/>
        <v>0.86206896551724133</v>
      </c>
      <c r="AK31" s="42" t="s">
        <v>272</v>
      </c>
      <c r="AL31" s="40">
        <f>COUNTIF(AE$7:AE$35,"&gt;=140")-COUNTIF(AE$7:AE$35,"&gt;149.999")</f>
        <v>0</v>
      </c>
      <c r="AM31" s="41"/>
      <c r="AN31" s="40">
        <f>COUNTIF(AA$7:AA$108,"&gt;=140")-COUNTIF(AA$7:AA$108,"&gt;149.999")</f>
        <v>0</v>
      </c>
      <c r="AO31" s="41"/>
      <c r="AP31" s="40">
        <f>COUNTIF(L$6:L$91,"&gt;=140")-COUNTIF(L$6:L$91,"&gt;149.999")</f>
        <v>0</v>
      </c>
    </row>
    <row r="32" spans="2:42" ht="15" x14ac:dyDescent="0.4">
      <c r="B32">
        <v>56</v>
      </c>
      <c r="E32">
        <v>62.6</v>
      </c>
      <c r="F32">
        <v>2.1800000000000002</v>
      </c>
      <c r="G32" s="6">
        <f>SUM(G7:G30)/24</f>
        <v>11.227916666666665</v>
      </c>
      <c r="K32">
        <v>38.299999999999997</v>
      </c>
      <c r="L32" s="29">
        <v>39.4</v>
      </c>
      <c r="M32">
        <f t="shared" si="0"/>
        <v>1.5954962218255742</v>
      </c>
      <c r="N32">
        <f t="shared" si="1"/>
        <v>27</v>
      </c>
      <c r="X32">
        <f t="shared" si="7"/>
        <v>26</v>
      </c>
      <c r="Y32">
        <f t="shared" si="2"/>
        <v>1.7489628612561614</v>
      </c>
      <c r="Z32">
        <f t="shared" si="3"/>
        <v>57.1</v>
      </c>
      <c r="AA32" s="30">
        <v>56.1</v>
      </c>
      <c r="AB32">
        <v>62.6</v>
      </c>
      <c r="AD32">
        <v>36.1</v>
      </c>
      <c r="AE32" s="19">
        <v>5.04</v>
      </c>
      <c r="AF32" s="27">
        <f t="shared" si="4"/>
        <v>6.04</v>
      </c>
      <c r="AG32">
        <f t="shared" si="5"/>
        <v>0.70243053644552533</v>
      </c>
      <c r="AH32">
        <f t="shared" si="8"/>
        <v>26</v>
      </c>
      <c r="AI32" s="23">
        <f t="shared" si="6"/>
        <v>0.89655172413793105</v>
      </c>
      <c r="AK32" s="42" t="s">
        <v>273</v>
      </c>
      <c r="AL32" s="40">
        <f>COUNTIF(AE$7:AE$35,"&gt;=150")</f>
        <v>0</v>
      </c>
      <c r="AM32" s="41"/>
      <c r="AN32" s="40">
        <f>COUNTIF(AA$7:AA$108,"&gt;=150")</f>
        <v>2</v>
      </c>
      <c r="AO32" s="41"/>
      <c r="AP32" s="40">
        <f>COUNTIF(L$6:L$91,"&gt;=150")</f>
        <v>0</v>
      </c>
    </row>
    <row r="33" spans="2:37" x14ac:dyDescent="0.35">
      <c r="B33">
        <v>38.299999999999997</v>
      </c>
      <c r="E33">
        <v>21.7</v>
      </c>
      <c r="F33">
        <v>1.71</v>
      </c>
      <c r="K33">
        <v>17</v>
      </c>
      <c r="L33" s="29">
        <v>38.6</v>
      </c>
      <c r="M33">
        <f t="shared" si="0"/>
        <v>1.5865873046717549</v>
      </c>
      <c r="N33">
        <f t="shared" si="1"/>
        <v>28</v>
      </c>
      <c r="P33" s="32" t="s">
        <v>176</v>
      </c>
      <c r="Q33" s="29"/>
      <c r="R33" s="29"/>
      <c r="S33" s="29"/>
      <c r="T33" s="29"/>
      <c r="X33">
        <f t="shared" si="7"/>
        <v>27</v>
      </c>
      <c r="Y33">
        <f t="shared" si="2"/>
        <v>1.7481880270062005</v>
      </c>
      <c r="Z33">
        <f t="shared" si="3"/>
        <v>57</v>
      </c>
      <c r="AA33" s="30">
        <v>56</v>
      </c>
      <c r="AB33">
        <v>21.7</v>
      </c>
      <c r="AD33">
        <v>20.399999999999999</v>
      </c>
      <c r="AE33">
        <v>3.92</v>
      </c>
      <c r="AF33">
        <f t="shared" si="4"/>
        <v>4.92</v>
      </c>
      <c r="AG33">
        <f t="shared" si="5"/>
        <v>0.59328606702045728</v>
      </c>
      <c r="AH33">
        <f t="shared" si="8"/>
        <v>27</v>
      </c>
      <c r="AI33" s="23">
        <f t="shared" si="6"/>
        <v>0.93103448275862066</v>
      </c>
      <c r="AK33" s="22"/>
    </row>
    <row r="34" spans="2:37" x14ac:dyDescent="0.35">
      <c r="B34">
        <v>17</v>
      </c>
      <c r="E34">
        <v>43.2</v>
      </c>
      <c r="F34">
        <v>1.59</v>
      </c>
      <c r="K34">
        <v>18.7</v>
      </c>
      <c r="L34" s="29">
        <v>38.299999999999997</v>
      </c>
      <c r="M34">
        <f t="shared" si="0"/>
        <v>1.5831987739686226</v>
      </c>
      <c r="N34">
        <f t="shared" si="1"/>
        <v>29</v>
      </c>
      <c r="P34" s="32" t="s">
        <v>178</v>
      </c>
      <c r="Q34" s="29"/>
      <c r="R34" s="29"/>
      <c r="S34" s="29"/>
      <c r="T34" s="29"/>
      <c r="X34">
        <f t="shared" si="7"/>
        <v>28</v>
      </c>
      <c r="Y34">
        <f t="shared" si="2"/>
        <v>1.7474118078864234</v>
      </c>
      <c r="Z34">
        <f t="shared" si="3"/>
        <v>56.9</v>
      </c>
      <c r="AA34" s="30">
        <v>55.9</v>
      </c>
      <c r="AB34">
        <v>43.2</v>
      </c>
      <c r="AD34">
        <v>6.61</v>
      </c>
      <c r="AE34">
        <v>0.59</v>
      </c>
      <c r="AF34">
        <f t="shared" si="4"/>
        <v>1.5899999999999999</v>
      </c>
      <c r="AG34">
        <f t="shared" si="5"/>
        <v>-0.22914798835785583</v>
      </c>
      <c r="AH34">
        <f t="shared" si="8"/>
        <v>28</v>
      </c>
      <c r="AI34" s="23">
        <f t="shared" si="6"/>
        <v>0.96551724137931039</v>
      </c>
      <c r="AK34" s="22"/>
    </row>
    <row r="35" spans="2:37" x14ac:dyDescent="0.35">
      <c r="B35">
        <v>18.7</v>
      </c>
      <c r="E35">
        <v>20.7</v>
      </c>
      <c r="F35">
        <v>0.81</v>
      </c>
      <c r="K35">
        <v>49.7</v>
      </c>
      <c r="L35" s="29">
        <v>38</v>
      </c>
      <c r="M35">
        <f t="shared" si="0"/>
        <v>1.5797835966168101</v>
      </c>
      <c r="N35">
        <f t="shared" si="1"/>
        <v>30</v>
      </c>
      <c r="P35" s="32" t="s">
        <v>177</v>
      </c>
      <c r="Q35" s="29"/>
      <c r="R35" s="29"/>
      <c r="S35" s="29"/>
      <c r="T35" s="29"/>
      <c r="X35">
        <f t="shared" si="7"/>
        <v>29</v>
      </c>
      <c r="Y35">
        <f t="shared" si="2"/>
        <v>1.7403626894942439</v>
      </c>
      <c r="Z35">
        <f t="shared" si="3"/>
        <v>56</v>
      </c>
      <c r="AA35" s="30">
        <v>55</v>
      </c>
      <c r="AB35">
        <v>20.7</v>
      </c>
      <c r="AD35">
        <v>80.5</v>
      </c>
      <c r="AE35">
        <v>0.5</v>
      </c>
      <c r="AF35">
        <f t="shared" si="4"/>
        <v>1.5</v>
      </c>
      <c r="AG35">
        <f t="shared" si="5"/>
        <v>-0.3010299956639812</v>
      </c>
      <c r="AH35">
        <f t="shared" si="8"/>
        <v>29</v>
      </c>
      <c r="AI35" s="23">
        <f t="shared" si="6"/>
        <v>1</v>
      </c>
      <c r="AK35" s="22"/>
    </row>
    <row r="36" spans="2:37" x14ac:dyDescent="0.35">
      <c r="B36">
        <v>49.7</v>
      </c>
      <c r="E36">
        <v>1.39</v>
      </c>
      <c r="F36">
        <v>0.91</v>
      </c>
      <c r="K36">
        <v>17.2</v>
      </c>
      <c r="L36" s="29">
        <v>37.9</v>
      </c>
      <c r="M36">
        <f t="shared" si="0"/>
        <v>1.5786392099680724</v>
      </c>
      <c r="N36">
        <f t="shared" si="1"/>
        <v>31</v>
      </c>
      <c r="X36">
        <f t="shared" si="7"/>
        <v>30</v>
      </c>
      <c r="Y36">
        <f t="shared" si="2"/>
        <v>1.7371926427047373</v>
      </c>
      <c r="Z36">
        <f t="shared" si="3"/>
        <v>55.6</v>
      </c>
      <c r="AA36" s="30">
        <v>54.6</v>
      </c>
      <c r="AB36">
        <v>1.39</v>
      </c>
      <c r="AK36" s="22"/>
    </row>
    <row r="37" spans="2:37" x14ac:dyDescent="0.35">
      <c r="B37">
        <v>17.2</v>
      </c>
      <c r="E37">
        <v>90.9</v>
      </c>
      <c r="F37">
        <v>0.85</v>
      </c>
      <c r="K37">
        <v>20.3</v>
      </c>
      <c r="L37" s="29">
        <v>37.200000000000003</v>
      </c>
      <c r="M37">
        <f t="shared" si="0"/>
        <v>1.5705429398818975</v>
      </c>
      <c r="N37">
        <f t="shared" si="1"/>
        <v>32</v>
      </c>
      <c r="P37" s="31" t="s">
        <v>183</v>
      </c>
      <c r="Q37" s="19"/>
      <c r="R37" s="19"/>
      <c r="S37" s="19"/>
      <c r="T37" s="19"/>
      <c r="X37">
        <f t="shared" si="7"/>
        <v>31</v>
      </c>
      <c r="Y37">
        <f t="shared" si="2"/>
        <v>1.7315887651867388</v>
      </c>
      <c r="Z37">
        <f t="shared" si="3"/>
        <v>54.9</v>
      </c>
      <c r="AA37" s="30">
        <v>53.9</v>
      </c>
      <c r="AB37">
        <v>90.9</v>
      </c>
      <c r="AK37" s="22"/>
    </row>
    <row r="38" spans="2:37" x14ac:dyDescent="0.35">
      <c r="B38">
        <v>20.3</v>
      </c>
      <c r="E38">
        <v>5.91</v>
      </c>
      <c r="F38">
        <v>5.34</v>
      </c>
      <c r="K38">
        <v>42.6</v>
      </c>
      <c r="L38" s="29">
        <v>36.6</v>
      </c>
      <c r="M38">
        <f t="shared" si="0"/>
        <v>1.5634810853944108</v>
      </c>
      <c r="N38">
        <f t="shared" si="1"/>
        <v>33</v>
      </c>
      <c r="P38" s="31" t="s">
        <v>179</v>
      </c>
      <c r="Q38" s="19"/>
      <c r="R38" s="19"/>
      <c r="S38" s="19"/>
      <c r="T38" s="19"/>
      <c r="X38">
        <f t="shared" si="7"/>
        <v>32</v>
      </c>
      <c r="Y38">
        <f t="shared" si="2"/>
        <v>1.7234556720351857</v>
      </c>
      <c r="Z38">
        <f t="shared" si="3"/>
        <v>53.9</v>
      </c>
      <c r="AA38" s="30">
        <v>52.9</v>
      </c>
      <c r="AB38">
        <v>5.91</v>
      </c>
      <c r="AK38" s="22"/>
    </row>
    <row r="39" spans="2:37" x14ac:dyDescent="0.35">
      <c r="B39">
        <v>42.6</v>
      </c>
      <c r="E39">
        <v>1.6</v>
      </c>
      <c r="F39">
        <v>1.57</v>
      </c>
      <c r="K39">
        <v>44.7</v>
      </c>
      <c r="L39" s="29">
        <v>36.299999999999997</v>
      </c>
      <c r="M39">
        <f t="shared" si="0"/>
        <v>1.5599066250361124</v>
      </c>
      <c r="N39">
        <f t="shared" si="1"/>
        <v>34</v>
      </c>
      <c r="P39" s="31" t="s">
        <v>182</v>
      </c>
      <c r="Q39" s="19"/>
      <c r="R39" s="19"/>
      <c r="S39" s="19"/>
      <c r="T39" s="19"/>
      <c r="X39">
        <f t="shared" si="7"/>
        <v>33</v>
      </c>
      <c r="Y39">
        <f t="shared" si="2"/>
        <v>1.7201593034059568</v>
      </c>
      <c r="Z39">
        <f t="shared" si="3"/>
        <v>53.5</v>
      </c>
      <c r="AA39" s="30">
        <v>52.5</v>
      </c>
      <c r="AB39">
        <v>1.6</v>
      </c>
    </row>
    <row r="40" spans="2:37" x14ac:dyDescent="0.35">
      <c r="B40">
        <v>44.7</v>
      </c>
      <c r="E40">
        <v>23.8</v>
      </c>
      <c r="F40">
        <v>2.79</v>
      </c>
      <c r="K40">
        <v>48.5</v>
      </c>
      <c r="L40" s="29">
        <v>36.200000000000003</v>
      </c>
      <c r="M40">
        <f t="shared" si="0"/>
        <v>1.5587085705331658</v>
      </c>
      <c r="N40">
        <f t="shared" si="1"/>
        <v>35</v>
      </c>
      <c r="X40">
        <f t="shared" si="7"/>
        <v>34</v>
      </c>
      <c r="Y40">
        <f t="shared" si="2"/>
        <v>1.7143297597452329</v>
      </c>
      <c r="Z40">
        <f t="shared" si="3"/>
        <v>52.8</v>
      </c>
      <c r="AA40" s="30">
        <v>51.8</v>
      </c>
      <c r="AB40">
        <v>23.8</v>
      </c>
    </row>
    <row r="41" spans="2:37" x14ac:dyDescent="0.35">
      <c r="B41">
        <v>48.5</v>
      </c>
      <c r="E41">
        <v>39.700000000000003</v>
      </c>
      <c r="F41">
        <v>1.24</v>
      </c>
      <c r="K41">
        <v>36.6</v>
      </c>
      <c r="L41" s="29">
        <v>35.5</v>
      </c>
      <c r="M41">
        <f t="shared" si="0"/>
        <v>1.550228353055094</v>
      </c>
      <c r="N41">
        <f t="shared" si="1"/>
        <v>36</v>
      </c>
      <c r="X41">
        <f t="shared" si="7"/>
        <v>35</v>
      </c>
      <c r="Y41">
        <f t="shared" si="2"/>
        <v>1.7143297597452329</v>
      </c>
      <c r="Z41">
        <f t="shared" si="3"/>
        <v>52.8</v>
      </c>
      <c r="AA41" s="30">
        <v>51.8</v>
      </c>
      <c r="AB41">
        <v>39.700000000000003</v>
      </c>
    </row>
    <row r="42" spans="2:37" x14ac:dyDescent="0.35">
      <c r="B42">
        <v>36.6</v>
      </c>
      <c r="E42">
        <v>0.43</v>
      </c>
      <c r="F42">
        <v>1.87</v>
      </c>
      <c r="K42">
        <v>44.6</v>
      </c>
      <c r="L42" s="29">
        <v>35.299999999999997</v>
      </c>
      <c r="M42">
        <f t="shared" si="0"/>
        <v>1.5477747053878226</v>
      </c>
      <c r="N42">
        <f t="shared" si="1"/>
        <v>37</v>
      </c>
      <c r="X42">
        <f t="shared" si="7"/>
        <v>36</v>
      </c>
      <c r="Y42">
        <f t="shared" si="2"/>
        <v>1.7126497016272113</v>
      </c>
      <c r="Z42">
        <f t="shared" si="3"/>
        <v>52.6</v>
      </c>
      <c r="AA42" s="30">
        <v>51.6</v>
      </c>
      <c r="AB42">
        <v>0.43</v>
      </c>
    </row>
    <row r="43" spans="2:37" x14ac:dyDescent="0.35">
      <c r="B43">
        <v>44.6</v>
      </c>
      <c r="E43">
        <v>2.4500000000000002</v>
      </c>
      <c r="F43">
        <v>3.64</v>
      </c>
      <c r="K43">
        <v>19.7</v>
      </c>
      <c r="L43" s="29">
        <v>35.200000000000003</v>
      </c>
      <c r="M43">
        <f t="shared" si="0"/>
        <v>1.546542663478131</v>
      </c>
      <c r="N43">
        <f t="shared" si="1"/>
        <v>38</v>
      </c>
      <c r="X43">
        <f t="shared" si="7"/>
        <v>37</v>
      </c>
      <c r="Y43">
        <f t="shared" si="2"/>
        <v>1.7109631189952756</v>
      </c>
      <c r="Z43">
        <f t="shared" si="3"/>
        <v>52.4</v>
      </c>
      <c r="AA43" s="30">
        <v>51.4</v>
      </c>
      <c r="AB43">
        <v>2.4500000000000002</v>
      </c>
    </row>
    <row r="44" spans="2:37" x14ac:dyDescent="0.35">
      <c r="B44">
        <v>19.7</v>
      </c>
      <c r="E44">
        <v>29.7</v>
      </c>
      <c r="F44">
        <v>0.55000000000000004</v>
      </c>
      <c r="K44">
        <v>38.6</v>
      </c>
      <c r="L44" s="29">
        <v>33.5</v>
      </c>
      <c r="M44">
        <f t="shared" si="0"/>
        <v>1.5250448070368452</v>
      </c>
      <c r="N44">
        <f t="shared" si="1"/>
        <v>39</v>
      </c>
      <c r="X44">
        <f t="shared" si="7"/>
        <v>38</v>
      </c>
      <c r="Y44">
        <f t="shared" si="2"/>
        <v>1.6963563887333322</v>
      </c>
      <c r="Z44">
        <f t="shared" si="3"/>
        <v>50.7</v>
      </c>
      <c r="AA44" s="30">
        <v>49.7</v>
      </c>
      <c r="AB44">
        <v>29.7</v>
      </c>
    </row>
    <row r="45" spans="2:37" x14ac:dyDescent="0.35">
      <c r="B45">
        <v>38.6</v>
      </c>
      <c r="E45">
        <v>28.9</v>
      </c>
      <c r="F45">
        <v>1.67</v>
      </c>
      <c r="K45">
        <v>42.6</v>
      </c>
      <c r="L45" s="29">
        <v>33.200000000000003</v>
      </c>
      <c r="M45">
        <f t="shared" si="0"/>
        <v>1.5211380837040362</v>
      </c>
      <c r="N45">
        <f t="shared" si="1"/>
        <v>40</v>
      </c>
      <c r="X45">
        <f t="shared" si="7"/>
        <v>39</v>
      </c>
      <c r="Y45">
        <f t="shared" si="2"/>
        <v>1.6893088591236203</v>
      </c>
      <c r="Z45">
        <f t="shared" si="3"/>
        <v>49.9</v>
      </c>
      <c r="AA45" s="30">
        <v>48.9</v>
      </c>
      <c r="AB45">
        <v>28.9</v>
      </c>
    </row>
    <row r="46" spans="2:37" x14ac:dyDescent="0.35">
      <c r="B46">
        <v>42.6</v>
      </c>
      <c r="E46">
        <v>38.1</v>
      </c>
      <c r="K46">
        <v>35.200000000000003</v>
      </c>
      <c r="L46" s="29">
        <v>32.200000000000003</v>
      </c>
      <c r="M46">
        <f t="shared" si="0"/>
        <v>1.507855871695831</v>
      </c>
      <c r="N46">
        <f t="shared" si="1"/>
        <v>41</v>
      </c>
      <c r="X46">
        <f t="shared" si="7"/>
        <v>40</v>
      </c>
      <c r="Y46">
        <f t="shared" si="2"/>
        <v>1.6884198220027107</v>
      </c>
      <c r="Z46">
        <f t="shared" si="3"/>
        <v>49.8</v>
      </c>
      <c r="AA46" s="30">
        <v>48.8</v>
      </c>
      <c r="AB46">
        <v>38.1</v>
      </c>
    </row>
    <row r="47" spans="2:37" ht="15" x14ac:dyDescent="0.4">
      <c r="B47">
        <v>35.200000000000003</v>
      </c>
      <c r="E47">
        <v>41</v>
      </c>
      <c r="F47" s="6">
        <f>SUM(F7:F45)/39</f>
        <v>1.9007692307692305</v>
      </c>
      <c r="K47">
        <v>51.3</v>
      </c>
      <c r="L47" s="29">
        <v>32.200000000000003</v>
      </c>
      <c r="M47">
        <f t="shared" si="0"/>
        <v>1.507855871695831</v>
      </c>
      <c r="N47">
        <f t="shared" si="1"/>
        <v>42</v>
      </c>
      <c r="X47">
        <f t="shared" si="7"/>
        <v>41</v>
      </c>
      <c r="Y47">
        <f t="shared" si="2"/>
        <v>1.658964842664435</v>
      </c>
      <c r="Z47">
        <f t="shared" si="3"/>
        <v>46.6</v>
      </c>
      <c r="AA47" s="30">
        <v>45.6</v>
      </c>
      <c r="AB47">
        <v>41</v>
      </c>
    </row>
    <row r="48" spans="2:37" x14ac:dyDescent="0.35">
      <c r="B48">
        <v>51.3</v>
      </c>
      <c r="E48">
        <v>204</v>
      </c>
      <c r="K48">
        <v>48.5</v>
      </c>
      <c r="L48" s="29">
        <v>32.1</v>
      </c>
      <c r="M48">
        <f t="shared" si="0"/>
        <v>1.5065050324048721</v>
      </c>
      <c r="N48">
        <f t="shared" si="1"/>
        <v>43</v>
      </c>
      <c r="X48">
        <f t="shared" si="7"/>
        <v>42</v>
      </c>
      <c r="Y48">
        <f t="shared" si="2"/>
        <v>1.6532125137753437</v>
      </c>
      <c r="Z48">
        <f t="shared" si="3"/>
        <v>46</v>
      </c>
      <c r="AA48" s="30">
        <v>45</v>
      </c>
      <c r="AB48">
        <v>204</v>
      </c>
    </row>
    <row r="49" spans="2:28" x14ac:dyDescent="0.35">
      <c r="B49">
        <v>48.5</v>
      </c>
      <c r="E49">
        <v>48.8</v>
      </c>
      <c r="K49">
        <v>28.9</v>
      </c>
      <c r="L49" s="29">
        <v>32</v>
      </c>
      <c r="M49">
        <f t="shared" si="0"/>
        <v>1.505149978319906</v>
      </c>
      <c r="N49">
        <f t="shared" si="1"/>
        <v>44</v>
      </c>
      <c r="X49">
        <f t="shared" si="7"/>
        <v>43</v>
      </c>
      <c r="Y49">
        <f t="shared" si="2"/>
        <v>1.6483600109809315</v>
      </c>
      <c r="Z49">
        <f t="shared" si="3"/>
        <v>45.5</v>
      </c>
      <c r="AA49" s="30">
        <v>44.5</v>
      </c>
      <c r="AB49">
        <v>48.8</v>
      </c>
    </row>
    <row r="50" spans="2:28" x14ac:dyDescent="0.35">
      <c r="B50">
        <v>28.9</v>
      </c>
      <c r="E50">
        <v>77.900000000000006</v>
      </c>
      <c r="K50">
        <v>22.1</v>
      </c>
      <c r="L50" s="29">
        <v>31.8</v>
      </c>
      <c r="M50">
        <f t="shared" si="0"/>
        <v>1.5024271199844328</v>
      </c>
      <c r="N50">
        <f t="shared" si="1"/>
        <v>45</v>
      </c>
      <c r="X50">
        <f t="shared" si="7"/>
        <v>44</v>
      </c>
      <c r="Y50">
        <f t="shared" si="2"/>
        <v>1.6454222693490919</v>
      </c>
      <c r="Z50">
        <f t="shared" si="3"/>
        <v>45.2</v>
      </c>
      <c r="AA50" s="30">
        <v>44.2</v>
      </c>
      <c r="AB50">
        <v>77.900000000000006</v>
      </c>
    </row>
    <row r="51" spans="2:28" x14ac:dyDescent="0.35">
      <c r="B51">
        <v>22.1</v>
      </c>
      <c r="E51">
        <v>56.1</v>
      </c>
      <c r="K51">
        <v>63.8</v>
      </c>
      <c r="L51" s="29">
        <v>31.8</v>
      </c>
      <c r="M51">
        <f t="shared" si="0"/>
        <v>1.5024271199844328</v>
      </c>
      <c r="N51">
        <f t="shared" si="1"/>
        <v>46</v>
      </c>
      <c r="X51">
        <f t="shared" si="7"/>
        <v>45</v>
      </c>
      <c r="Y51">
        <f t="shared" si="2"/>
        <v>1.6384892569546374</v>
      </c>
      <c r="Z51">
        <f t="shared" si="3"/>
        <v>44.5</v>
      </c>
      <c r="AA51" s="30">
        <v>43.5</v>
      </c>
      <c r="AB51">
        <v>56.1</v>
      </c>
    </row>
    <row r="52" spans="2:28" x14ac:dyDescent="0.35">
      <c r="B52">
        <v>63.8</v>
      </c>
      <c r="E52">
        <v>68.8</v>
      </c>
      <c r="K52">
        <v>25.4</v>
      </c>
      <c r="L52" s="29">
        <v>31.8</v>
      </c>
      <c r="M52">
        <f t="shared" si="0"/>
        <v>1.5024271199844328</v>
      </c>
      <c r="N52">
        <f t="shared" si="1"/>
        <v>47</v>
      </c>
      <c r="X52">
        <f t="shared" si="7"/>
        <v>46</v>
      </c>
      <c r="Y52">
        <f t="shared" si="2"/>
        <v>1.6364878963533653</v>
      </c>
      <c r="Z52">
        <f t="shared" si="3"/>
        <v>44.3</v>
      </c>
      <c r="AA52" s="30">
        <v>43.3</v>
      </c>
      <c r="AB52">
        <v>68.8</v>
      </c>
    </row>
    <row r="53" spans="2:28" x14ac:dyDescent="0.35">
      <c r="B53">
        <v>25.4</v>
      </c>
      <c r="E53">
        <v>35.200000000000003</v>
      </c>
      <c r="K53">
        <v>31.5</v>
      </c>
      <c r="L53" s="29">
        <v>31.5</v>
      </c>
      <c r="M53">
        <f t="shared" si="0"/>
        <v>1.4983105537896004</v>
      </c>
      <c r="N53">
        <f t="shared" si="1"/>
        <v>48</v>
      </c>
      <c r="X53">
        <f t="shared" si="7"/>
        <v>47</v>
      </c>
      <c r="Y53">
        <f t="shared" si="2"/>
        <v>1.6364878963533653</v>
      </c>
      <c r="Z53">
        <f t="shared" si="3"/>
        <v>44.3</v>
      </c>
      <c r="AA53" s="30">
        <v>43.3</v>
      </c>
      <c r="AB53">
        <v>35.200000000000003</v>
      </c>
    </row>
    <row r="54" spans="2:28" x14ac:dyDescent="0.35">
      <c r="B54">
        <v>31.5</v>
      </c>
      <c r="E54">
        <v>33.1</v>
      </c>
      <c r="K54">
        <v>31.8</v>
      </c>
      <c r="L54" s="29">
        <v>31.2</v>
      </c>
      <c r="M54">
        <f t="shared" si="0"/>
        <v>1.4941545940184429</v>
      </c>
      <c r="N54">
        <f t="shared" si="1"/>
        <v>49</v>
      </c>
      <c r="X54">
        <f t="shared" si="7"/>
        <v>48</v>
      </c>
      <c r="Y54">
        <f t="shared" si="2"/>
        <v>1.6354837468149122</v>
      </c>
      <c r="Z54">
        <f t="shared" si="3"/>
        <v>44.2</v>
      </c>
      <c r="AA54" s="30">
        <v>43.2</v>
      </c>
      <c r="AB54">
        <v>33.1</v>
      </c>
    </row>
    <row r="55" spans="2:28" x14ac:dyDescent="0.35">
      <c r="B55">
        <v>31.8</v>
      </c>
      <c r="E55">
        <v>44.5</v>
      </c>
      <c r="K55">
        <v>39.4</v>
      </c>
      <c r="L55" s="29">
        <v>30.7</v>
      </c>
      <c r="M55">
        <f t="shared" si="0"/>
        <v>1.4871383754771865</v>
      </c>
      <c r="N55">
        <f t="shared" si="1"/>
        <v>50</v>
      </c>
      <c r="X55">
        <f t="shared" si="7"/>
        <v>49</v>
      </c>
      <c r="Y55">
        <f t="shared" si="2"/>
        <v>1.6273658565927327</v>
      </c>
      <c r="Z55">
        <f t="shared" si="3"/>
        <v>43.4</v>
      </c>
      <c r="AA55" s="30">
        <v>42.4</v>
      </c>
      <c r="AB55">
        <v>44.5</v>
      </c>
    </row>
    <row r="56" spans="2:28" x14ac:dyDescent="0.35">
      <c r="B56">
        <v>39.4</v>
      </c>
      <c r="E56">
        <v>42.4</v>
      </c>
      <c r="K56">
        <v>24.8</v>
      </c>
      <c r="L56" s="29">
        <v>30.5</v>
      </c>
      <c r="M56">
        <f t="shared" si="0"/>
        <v>1.4842998393467859</v>
      </c>
      <c r="N56">
        <f t="shared" si="1"/>
        <v>51</v>
      </c>
      <c r="X56">
        <f t="shared" si="7"/>
        <v>50</v>
      </c>
      <c r="Y56">
        <f t="shared" si="2"/>
        <v>1.6263403673750423</v>
      </c>
      <c r="Z56">
        <f t="shared" si="3"/>
        <v>43.3</v>
      </c>
      <c r="AA56" s="30">
        <v>42.3</v>
      </c>
      <c r="AB56">
        <v>42.4</v>
      </c>
    </row>
    <row r="57" spans="2:28" x14ac:dyDescent="0.35">
      <c r="B57">
        <v>24.8</v>
      </c>
      <c r="E57">
        <v>51.4</v>
      </c>
      <c r="K57">
        <v>24.3</v>
      </c>
      <c r="L57" s="29">
        <v>29.4</v>
      </c>
      <c r="M57">
        <f t="shared" si="0"/>
        <v>1.4683473304121573</v>
      </c>
      <c r="N57">
        <f t="shared" si="1"/>
        <v>52</v>
      </c>
      <c r="X57">
        <f t="shared" si="7"/>
        <v>51</v>
      </c>
      <c r="Y57">
        <f t="shared" si="2"/>
        <v>1.6242820958356683</v>
      </c>
      <c r="Z57">
        <f t="shared" si="3"/>
        <v>43.1</v>
      </c>
      <c r="AA57" s="30">
        <v>42.1</v>
      </c>
      <c r="AB57">
        <v>51.4</v>
      </c>
    </row>
    <row r="58" spans="2:28" x14ac:dyDescent="0.35">
      <c r="B58">
        <v>24.3</v>
      </c>
      <c r="E58">
        <v>138</v>
      </c>
      <c r="K58">
        <v>51.6</v>
      </c>
      <c r="L58" s="29">
        <v>29.2</v>
      </c>
      <c r="M58">
        <f t="shared" si="0"/>
        <v>1.4653828514484182</v>
      </c>
      <c r="N58">
        <f t="shared" si="1"/>
        <v>53</v>
      </c>
      <c r="X58">
        <f t="shared" si="7"/>
        <v>52</v>
      </c>
      <c r="Y58">
        <f t="shared" si="2"/>
        <v>1.6127838567197355</v>
      </c>
      <c r="Z58">
        <f t="shared" si="3"/>
        <v>42</v>
      </c>
      <c r="AA58" s="30">
        <v>41</v>
      </c>
      <c r="AB58">
        <v>138</v>
      </c>
    </row>
    <row r="59" spans="2:28" x14ac:dyDescent="0.35">
      <c r="B59">
        <v>51.6</v>
      </c>
      <c r="E59">
        <v>37.6</v>
      </c>
      <c r="K59">
        <v>112</v>
      </c>
      <c r="L59" s="29">
        <v>29.1</v>
      </c>
      <c r="M59">
        <f t="shared" si="0"/>
        <v>1.4638929889859074</v>
      </c>
      <c r="N59">
        <f t="shared" si="1"/>
        <v>54</v>
      </c>
      <c r="X59">
        <f t="shared" si="7"/>
        <v>53</v>
      </c>
      <c r="Y59">
        <f t="shared" si="2"/>
        <v>1.5987905067631152</v>
      </c>
      <c r="Z59">
        <f t="shared" si="3"/>
        <v>40.700000000000003</v>
      </c>
      <c r="AA59" s="30">
        <v>39.700000000000003</v>
      </c>
      <c r="AB59">
        <v>37.6</v>
      </c>
    </row>
    <row r="60" spans="2:28" x14ac:dyDescent="0.35">
      <c r="B60">
        <v>112</v>
      </c>
      <c r="E60">
        <v>59.3</v>
      </c>
      <c r="K60">
        <v>29.4</v>
      </c>
      <c r="L60" s="29">
        <v>29</v>
      </c>
      <c r="M60">
        <f t="shared" si="0"/>
        <v>1.4623979978989561</v>
      </c>
      <c r="N60">
        <f t="shared" si="1"/>
        <v>55</v>
      </c>
      <c r="X60">
        <f t="shared" si="7"/>
        <v>54</v>
      </c>
      <c r="Y60">
        <f t="shared" si="2"/>
        <v>1.5976951859255124</v>
      </c>
      <c r="Z60">
        <f t="shared" si="3"/>
        <v>40.6</v>
      </c>
      <c r="AA60" s="30">
        <v>39.6</v>
      </c>
      <c r="AB60">
        <v>59.3</v>
      </c>
    </row>
    <row r="61" spans="2:28" x14ac:dyDescent="0.35">
      <c r="B61">
        <v>29.4</v>
      </c>
      <c r="E61">
        <v>76.7</v>
      </c>
      <c r="K61">
        <v>37.9</v>
      </c>
      <c r="L61" s="29">
        <v>28.9</v>
      </c>
      <c r="M61">
        <f t="shared" si="0"/>
        <v>1.4608978427565478</v>
      </c>
      <c r="N61">
        <f t="shared" si="1"/>
        <v>56</v>
      </c>
      <c r="X61">
        <f t="shared" si="7"/>
        <v>55</v>
      </c>
      <c r="Y61">
        <f t="shared" si="2"/>
        <v>1.5865873046717549</v>
      </c>
      <c r="Z61">
        <f t="shared" si="3"/>
        <v>39.6</v>
      </c>
      <c r="AA61" s="30">
        <v>38.6</v>
      </c>
      <c r="AB61">
        <v>76.7</v>
      </c>
    </row>
    <row r="62" spans="2:28" x14ac:dyDescent="0.35">
      <c r="B62">
        <v>37.9</v>
      </c>
      <c r="E62">
        <v>71.8</v>
      </c>
      <c r="K62">
        <v>29</v>
      </c>
      <c r="L62" s="29">
        <v>28.3</v>
      </c>
      <c r="M62">
        <f t="shared" si="0"/>
        <v>1.4517864355242902</v>
      </c>
      <c r="N62">
        <f t="shared" si="1"/>
        <v>57</v>
      </c>
      <c r="X62">
        <f t="shared" si="7"/>
        <v>56</v>
      </c>
      <c r="Y62">
        <f t="shared" si="2"/>
        <v>1.5854607295085006</v>
      </c>
      <c r="Z62">
        <f t="shared" si="3"/>
        <v>39.5</v>
      </c>
      <c r="AA62" s="30">
        <v>38.5</v>
      </c>
      <c r="AB62">
        <v>71.8</v>
      </c>
    </row>
    <row r="63" spans="2:28" x14ac:dyDescent="0.35">
      <c r="B63">
        <v>29</v>
      </c>
      <c r="E63">
        <v>89.5</v>
      </c>
      <c r="K63">
        <v>19.100000000000001</v>
      </c>
      <c r="L63" s="29">
        <v>28.1</v>
      </c>
      <c r="M63">
        <f t="shared" si="0"/>
        <v>1.4487063199050798</v>
      </c>
      <c r="N63">
        <f t="shared" si="1"/>
        <v>58</v>
      </c>
      <c r="X63">
        <f t="shared" si="7"/>
        <v>57</v>
      </c>
      <c r="Y63">
        <f t="shared" si="2"/>
        <v>1.5809249756756194</v>
      </c>
      <c r="Z63">
        <f t="shared" si="3"/>
        <v>39.1</v>
      </c>
      <c r="AA63" s="30">
        <v>38.1</v>
      </c>
      <c r="AB63">
        <v>89.5</v>
      </c>
    </row>
    <row r="64" spans="2:28" x14ac:dyDescent="0.35">
      <c r="B64">
        <v>19.100000000000001</v>
      </c>
      <c r="E64">
        <v>56</v>
      </c>
      <c r="K64">
        <v>23.5</v>
      </c>
      <c r="L64" s="29">
        <v>25.7</v>
      </c>
      <c r="M64">
        <f t="shared" si="0"/>
        <v>1.4099331233312946</v>
      </c>
      <c r="N64">
        <f t="shared" si="1"/>
        <v>59</v>
      </c>
      <c r="X64">
        <f t="shared" si="7"/>
        <v>58</v>
      </c>
      <c r="Y64">
        <f t="shared" si="2"/>
        <v>1.5751878449276611</v>
      </c>
      <c r="Z64">
        <f t="shared" si="3"/>
        <v>38.6</v>
      </c>
      <c r="AA64" s="30">
        <v>37.6</v>
      </c>
      <c r="AB64">
        <v>56</v>
      </c>
    </row>
    <row r="65" spans="2:28" x14ac:dyDescent="0.35">
      <c r="B65">
        <v>23.5</v>
      </c>
      <c r="E65">
        <v>64.8</v>
      </c>
      <c r="K65">
        <v>36.299999999999997</v>
      </c>
      <c r="L65" s="29">
        <v>25.4</v>
      </c>
      <c r="M65">
        <f t="shared" si="0"/>
        <v>1.4048337166199381</v>
      </c>
      <c r="N65">
        <f t="shared" si="1"/>
        <v>60</v>
      </c>
      <c r="X65">
        <f t="shared" si="7"/>
        <v>59</v>
      </c>
      <c r="Y65">
        <f t="shared" si="2"/>
        <v>1.5490032620257879</v>
      </c>
      <c r="Z65">
        <f t="shared" si="3"/>
        <v>36.4</v>
      </c>
      <c r="AA65" s="30">
        <v>35.4</v>
      </c>
      <c r="AB65">
        <v>64.8</v>
      </c>
    </row>
    <row r="66" spans="2:28" x14ac:dyDescent="0.35">
      <c r="B66">
        <v>36.299999999999997</v>
      </c>
      <c r="E66">
        <v>38.6</v>
      </c>
      <c r="K66">
        <v>37.200000000000003</v>
      </c>
      <c r="L66" s="29">
        <v>24.8</v>
      </c>
      <c r="M66">
        <f t="shared" si="0"/>
        <v>1.3944516808262162</v>
      </c>
      <c r="N66">
        <f t="shared" si="1"/>
        <v>61</v>
      </c>
      <c r="X66">
        <f t="shared" si="7"/>
        <v>60</v>
      </c>
      <c r="Y66">
        <f t="shared" si="2"/>
        <v>1.546542663478131</v>
      </c>
      <c r="Z66">
        <f t="shared" si="3"/>
        <v>36.200000000000003</v>
      </c>
      <c r="AA66" s="30">
        <v>35.200000000000003</v>
      </c>
      <c r="AB66">
        <v>38.6</v>
      </c>
    </row>
    <row r="67" spans="2:28" x14ac:dyDescent="0.35">
      <c r="B67">
        <v>37.200000000000003</v>
      </c>
      <c r="E67">
        <v>16.600000000000001</v>
      </c>
      <c r="K67">
        <v>22.4</v>
      </c>
      <c r="L67" s="29">
        <v>24.3</v>
      </c>
      <c r="M67">
        <f t="shared" si="0"/>
        <v>1.3856062735983121</v>
      </c>
      <c r="N67">
        <f t="shared" si="1"/>
        <v>62</v>
      </c>
      <c r="X67">
        <f t="shared" si="7"/>
        <v>61</v>
      </c>
      <c r="Y67">
        <f t="shared" si="2"/>
        <v>1.5352941200427705</v>
      </c>
      <c r="Z67">
        <f t="shared" si="3"/>
        <v>35.299999999999997</v>
      </c>
      <c r="AA67" s="30">
        <v>34.299999999999997</v>
      </c>
      <c r="AB67">
        <v>16.600000000000001</v>
      </c>
    </row>
    <row r="68" spans="2:28" x14ac:dyDescent="0.35">
      <c r="B68">
        <v>22.4</v>
      </c>
      <c r="E68">
        <v>33</v>
      </c>
      <c r="K68">
        <v>52.4</v>
      </c>
      <c r="L68" s="29">
        <v>24.3</v>
      </c>
      <c r="M68">
        <f t="shared" si="0"/>
        <v>1.3856062735983121</v>
      </c>
      <c r="N68">
        <f t="shared" si="1"/>
        <v>63</v>
      </c>
      <c r="X68">
        <f t="shared" si="7"/>
        <v>62</v>
      </c>
      <c r="Y68">
        <f t="shared" si="2"/>
        <v>1.5198279937757189</v>
      </c>
      <c r="Z68">
        <f t="shared" si="3"/>
        <v>34.1</v>
      </c>
      <c r="AA68" s="30">
        <v>33.1</v>
      </c>
      <c r="AB68">
        <v>33</v>
      </c>
    </row>
    <row r="69" spans="2:28" x14ac:dyDescent="0.35">
      <c r="B69">
        <v>52.4</v>
      </c>
      <c r="E69">
        <v>43.3</v>
      </c>
      <c r="K69">
        <v>68.400000000000006</v>
      </c>
      <c r="L69" s="29">
        <v>24.1</v>
      </c>
      <c r="M69">
        <f t="shared" si="0"/>
        <v>1.3820170425748683</v>
      </c>
      <c r="N69">
        <f t="shared" si="1"/>
        <v>64</v>
      </c>
      <c r="X69">
        <f t="shared" si="7"/>
        <v>63</v>
      </c>
      <c r="Y69">
        <f t="shared" si="2"/>
        <v>1.5185139398778875</v>
      </c>
      <c r="Z69">
        <f t="shared" si="3"/>
        <v>34</v>
      </c>
      <c r="AA69" s="30">
        <v>33</v>
      </c>
      <c r="AB69">
        <v>43.3</v>
      </c>
    </row>
    <row r="70" spans="2:28" x14ac:dyDescent="0.35">
      <c r="B70">
        <v>68.400000000000006</v>
      </c>
      <c r="E70">
        <v>24.6</v>
      </c>
      <c r="K70">
        <v>32.200000000000003</v>
      </c>
      <c r="L70" s="29">
        <v>23.9</v>
      </c>
      <c r="M70">
        <f t="shared" si="0"/>
        <v>1.3783979009481377</v>
      </c>
      <c r="N70">
        <f t="shared" si="1"/>
        <v>65</v>
      </c>
      <c r="X70">
        <f t="shared" si="7"/>
        <v>64</v>
      </c>
      <c r="Y70">
        <f t="shared" si="2"/>
        <v>1.505149978319906</v>
      </c>
      <c r="Z70">
        <f t="shared" si="3"/>
        <v>33</v>
      </c>
      <c r="AA70" s="30">
        <v>32</v>
      </c>
      <c r="AB70">
        <v>24.6</v>
      </c>
    </row>
    <row r="71" spans="2:28" x14ac:dyDescent="0.35">
      <c r="B71">
        <v>32.200000000000003</v>
      </c>
      <c r="E71">
        <v>51.6</v>
      </c>
      <c r="K71">
        <v>30.5</v>
      </c>
      <c r="L71" s="29">
        <v>23.6</v>
      </c>
      <c r="M71">
        <f t="shared" ref="M71:M91" si="9">LOG10(L71)</f>
        <v>1.3729120029701065</v>
      </c>
      <c r="N71">
        <f t="shared" si="1"/>
        <v>66</v>
      </c>
      <c r="X71">
        <f t="shared" si="7"/>
        <v>65</v>
      </c>
      <c r="Y71">
        <f t="shared" si="2"/>
        <v>1.4742162640762553</v>
      </c>
      <c r="Z71">
        <f t="shared" si="3"/>
        <v>30.8</v>
      </c>
      <c r="AA71" s="30">
        <v>29.8</v>
      </c>
      <c r="AB71">
        <v>51.6</v>
      </c>
    </row>
    <row r="72" spans="2:28" x14ac:dyDescent="0.35">
      <c r="B72">
        <v>30.5</v>
      </c>
      <c r="E72">
        <v>4.24</v>
      </c>
      <c r="K72">
        <v>44</v>
      </c>
      <c r="L72" s="29">
        <v>23.5</v>
      </c>
      <c r="M72">
        <f t="shared" si="9"/>
        <v>1.3710678622717363</v>
      </c>
      <c r="N72">
        <f t="shared" ref="N72:N91" si="10">1+N71</f>
        <v>67</v>
      </c>
      <c r="X72">
        <f t="shared" si="7"/>
        <v>66</v>
      </c>
      <c r="Y72">
        <f t="shared" ref="Y72:Y108" si="11">LOG10(AA72)</f>
        <v>1.4727564493172123</v>
      </c>
      <c r="Z72">
        <f t="shared" ref="Z72:Z108" si="12">1+AA72</f>
        <v>30.7</v>
      </c>
      <c r="AA72" s="30">
        <v>29.7</v>
      </c>
      <c r="AB72">
        <v>4.24</v>
      </c>
    </row>
    <row r="73" spans="2:28" x14ac:dyDescent="0.35">
      <c r="B73">
        <v>44</v>
      </c>
      <c r="E73">
        <v>39.6</v>
      </c>
      <c r="K73">
        <v>31.8</v>
      </c>
      <c r="L73" s="29">
        <v>22.4</v>
      </c>
      <c r="M73">
        <f t="shared" si="9"/>
        <v>1.3502480183341627</v>
      </c>
      <c r="N73">
        <f t="shared" si="10"/>
        <v>68</v>
      </c>
      <c r="X73">
        <f t="shared" ref="X73:X108" si="13">1+X72</f>
        <v>67</v>
      </c>
      <c r="Y73">
        <f t="shared" si="11"/>
        <v>1.4608978427565478</v>
      </c>
      <c r="Z73">
        <f t="shared" si="12"/>
        <v>29.9</v>
      </c>
      <c r="AA73" s="30">
        <v>28.9</v>
      </c>
      <c r="AB73">
        <v>39.6</v>
      </c>
    </row>
    <row r="74" spans="2:28" x14ac:dyDescent="0.35">
      <c r="B74">
        <v>31.8</v>
      </c>
      <c r="E74">
        <v>5.48</v>
      </c>
      <c r="K74">
        <v>35.299999999999997</v>
      </c>
      <c r="L74" s="29">
        <v>22.1</v>
      </c>
      <c r="M74">
        <f t="shared" si="9"/>
        <v>1.3443922736851108</v>
      </c>
      <c r="N74">
        <f t="shared" si="10"/>
        <v>69</v>
      </c>
      <c r="X74">
        <f t="shared" si="13"/>
        <v>68</v>
      </c>
      <c r="Y74">
        <f t="shared" si="11"/>
        <v>1.4517864355242902</v>
      </c>
      <c r="Z74">
        <f t="shared" si="12"/>
        <v>29.3</v>
      </c>
      <c r="AA74" s="30">
        <v>28.3</v>
      </c>
      <c r="AB74">
        <v>5.48</v>
      </c>
    </row>
    <row r="75" spans="2:28" x14ac:dyDescent="0.35">
      <c r="B75">
        <v>35.299999999999997</v>
      </c>
      <c r="E75">
        <v>16.899999999999999</v>
      </c>
      <c r="K75">
        <v>31.8</v>
      </c>
      <c r="L75" s="29">
        <v>21</v>
      </c>
      <c r="M75">
        <f t="shared" si="9"/>
        <v>1.3222192947339193</v>
      </c>
      <c r="N75">
        <f t="shared" si="10"/>
        <v>70</v>
      </c>
      <c r="X75">
        <f t="shared" si="13"/>
        <v>69</v>
      </c>
      <c r="Y75">
        <f t="shared" si="11"/>
        <v>1.4393326938302626</v>
      </c>
      <c r="Z75">
        <f t="shared" si="12"/>
        <v>28.5</v>
      </c>
      <c r="AA75" s="30">
        <v>27.5</v>
      </c>
      <c r="AB75">
        <v>16.899999999999999</v>
      </c>
    </row>
    <row r="76" spans="2:28" x14ac:dyDescent="0.35">
      <c r="B76">
        <v>31.8</v>
      </c>
      <c r="E76">
        <v>32</v>
      </c>
      <c r="K76">
        <v>32.1</v>
      </c>
      <c r="L76" s="29">
        <v>20.7</v>
      </c>
      <c r="M76">
        <f t="shared" si="9"/>
        <v>1.3159703454569178</v>
      </c>
      <c r="N76">
        <f t="shared" si="10"/>
        <v>71</v>
      </c>
      <c r="X76">
        <f t="shared" si="13"/>
        <v>70</v>
      </c>
      <c r="Y76">
        <f t="shared" si="11"/>
        <v>1.4183012913197455</v>
      </c>
      <c r="Z76">
        <f t="shared" si="12"/>
        <v>27.2</v>
      </c>
      <c r="AA76" s="30">
        <v>26.2</v>
      </c>
      <c r="AB76">
        <v>32</v>
      </c>
    </row>
    <row r="77" spans="2:28" x14ac:dyDescent="0.35">
      <c r="B77">
        <v>32.1</v>
      </c>
      <c r="E77">
        <v>56.4</v>
      </c>
      <c r="K77">
        <v>32.200000000000003</v>
      </c>
      <c r="L77" s="29">
        <v>20.3</v>
      </c>
      <c r="M77">
        <f t="shared" si="9"/>
        <v>1.307496037913213</v>
      </c>
      <c r="N77">
        <f t="shared" si="10"/>
        <v>72</v>
      </c>
      <c r="X77">
        <f t="shared" si="13"/>
        <v>71</v>
      </c>
      <c r="Y77">
        <f t="shared" si="11"/>
        <v>1.3909351071033791</v>
      </c>
      <c r="Z77">
        <f t="shared" si="12"/>
        <v>25.6</v>
      </c>
      <c r="AA77" s="30">
        <v>24.6</v>
      </c>
      <c r="AB77">
        <v>56.4</v>
      </c>
    </row>
    <row r="78" spans="2:28" x14ac:dyDescent="0.35">
      <c r="B78">
        <v>32.200000000000003</v>
      </c>
      <c r="E78">
        <v>22.8</v>
      </c>
      <c r="K78">
        <v>28.1</v>
      </c>
      <c r="L78" s="29">
        <v>19.7</v>
      </c>
      <c r="M78">
        <f t="shared" si="9"/>
        <v>1.2944662261615929</v>
      </c>
      <c r="N78">
        <f t="shared" si="10"/>
        <v>73</v>
      </c>
      <c r="X78">
        <f t="shared" si="13"/>
        <v>72</v>
      </c>
      <c r="Y78">
        <f t="shared" si="11"/>
        <v>1.3765769570565121</v>
      </c>
      <c r="Z78">
        <f t="shared" si="12"/>
        <v>24.8</v>
      </c>
      <c r="AA78" s="30">
        <v>23.8</v>
      </c>
      <c r="AB78">
        <v>22.8</v>
      </c>
    </row>
    <row r="79" spans="2:28" x14ac:dyDescent="0.35">
      <c r="B79">
        <v>28.1</v>
      </c>
      <c r="E79">
        <v>3.52</v>
      </c>
      <c r="K79">
        <v>42.6</v>
      </c>
      <c r="L79" s="29">
        <v>19.7</v>
      </c>
      <c r="M79">
        <f t="shared" si="9"/>
        <v>1.2944662261615929</v>
      </c>
      <c r="N79">
        <f t="shared" si="10"/>
        <v>74</v>
      </c>
      <c r="X79">
        <f t="shared" si="13"/>
        <v>73</v>
      </c>
      <c r="Y79">
        <f t="shared" si="11"/>
        <v>1.3710678622717363</v>
      </c>
      <c r="Z79">
        <f t="shared" si="12"/>
        <v>24.5</v>
      </c>
      <c r="AA79" s="30">
        <v>23.5</v>
      </c>
      <c r="AB79">
        <v>3.52</v>
      </c>
    </row>
    <row r="80" spans="2:28" x14ac:dyDescent="0.35">
      <c r="B80">
        <v>42.6</v>
      </c>
      <c r="E80">
        <v>80.599999999999994</v>
      </c>
      <c r="K80">
        <v>8.77</v>
      </c>
      <c r="L80" s="29">
        <v>19.100000000000001</v>
      </c>
      <c r="M80">
        <f t="shared" si="9"/>
        <v>1.2810333672477277</v>
      </c>
      <c r="N80">
        <f t="shared" si="10"/>
        <v>75</v>
      </c>
      <c r="X80">
        <f t="shared" si="13"/>
        <v>74</v>
      </c>
      <c r="Y80">
        <f t="shared" si="11"/>
        <v>1.3579348470004537</v>
      </c>
      <c r="Z80">
        <f t="shared" si="12"/>
        <v>23.8</v>
      </c>
      <c r="AA80" s="30">
        <v>22.8</v>
      </c>
      <c r="AB80">
        <v>80.599999999999994</v>
      </c>
    </row>
    <row r="81" spans="2:28" x14ac:dyDescent="0.35">
      <c r="B81">
        <v>8.77</v>
      </c>
      <c r="E81">
        <v>57.2</v>
      </c>
      <c r="K81">
        <v>32</v>
      </c>
      <c r="L81" s="29">
        <v>18.7</v>
      </c>
      <c r="M81">
        <f t="shared" si="9"/>
        <v>1.271841606536499</v>
      </c>
      <c r="N81">
        <f t="shared" si="10"/>
        <v>76</v>
      </c>
      <c r="X81">
        <f t="shared" si="13"/>
        <v>75</v>
      </c>
      <c r="Y81">
        <f t="shared" si="11"/>
        <v>1.3404441148401183</v>
      </c>
      <c r="Z81">
        <f t="shared" si="12"/>
        <v>22.9</v>
      </c>
      <c r="AA81" s="30">
        <v>21.9</v>
      </c>
      <c r="AB81">
        <v>57.2</v>
      </c>
    </row>
    <row r="82" spans="2:28" x14ac:dyDescent="0.35">
      <c r="B82">
        <v>32</v>
      </c>
      <c r="E82">
        <v>38.5</v>
      </c>
      <c r="K82">
        <v>35.5</v>
      </c>
      <c r="L82" s="29">
        <v>18.600000000000001</v>
      </c>
      <c r="M82">
        <f t="shared" si="9"/>
        <v>1.2695129442179163</v>
      </c>
      <c r="N82">
        <f t="shared" si="10"/>
        <v>77</v>
      </c>
      <c r="X82">
        <f t="shared" si="13"/>
        <v>76</v>
      </c>
      <c r="Y82">
        <f t="shared" si="11"/>
        <v>1.3404441148401183</v>
      </c>
      <c r="Z82">
        <f t="shared" si="12"/>
        <v>22.9</v>
      </c>
      <c r="AA82" s="30">
        <v>21.9</v>
      </c>
      <c r="AB82">
        <v>38.5</v>
      </c>
    </row>
    <row r="83" spans="2:28" x14ac:dyDescent="0.35">
      <c r="B83">
        <v>35.5</v>
      </c>
      <c r="E83">
        <v>77.8</v>
      </c>
      <c r="K83">
        <v>42.5</v>
      </c>
      <c r="L83" s="29">
        <v>18.399999999999999</v>
      </c>
      <c r="M83">
        <f t="shared" si="9"/>
        <v>1.2648178230095364</v>
      </c>
      <c r="N83">
        <f t="shared" si="10"/>
        <v>78</v>
      </c>
      <c r="X83">
        <f t="shared" si="13"/>
        <v>77</v>
      </c>
      <c r="Y83">
        <f t="shared" si="11"/>
        <v>1.3364597338485296</v>
      </c>
      <c r="Z83">
        <f t="shared" si="12"/>
        <v>22.7</v>
      </c>
      <c r="AA83" s="30">
        <v>21.7</v>
      </c>
      <c r="AB83">
        <v>77.8</v>
      </c>
    </row>
    <row r="84" spans="2:28" x14ac:dyDescent="0.35">
      <c r="B84">
        <v>42.5</v>
      </c>
      <c r="E84">
        <v>336</v>
      </c>
      <c r="K84">
        <v>18.399999999999999</v>
      </c>
      <c r="L84" s="29">
        <v>17.2</v>
      </c>
      <c r="M84">
        <f t="shared" si="9"/>
        <v>1.2355284469075489</v>
      </c>
      <c r="N84">
        <f t="shared" si="10"/>
        <v>79</v>
      </c>
      <c r="X84">
        <f t="shared" si="13"/>
        <v>78</v>
      </c>
      <c r="Y84">
        <f t="shared" si="11"/>
        <v>1.320146286111054</v>
      </c>
      <c r="Z84">
        <f t="shared" si="12"/>
        <v>21.9</v>
      </c>
      <c r="AA84" s="30">
        <v>20.9</v>
      </c>
      <c r="AB84">
        <v>336</v>
      </c>
    </row>
    <row r="85" spans="2:28" x14ac:dyDescent="0.35">
      <c r="B85">
        <v>18.399999999999999</v>
      </c>
      <c r="E85">
        <v>53.9</v>
      </c>
      <c r="K85">
        <v>23.9</v>
      </c>
      <c r="L85" s="29">
        <v>17</v>
      </c>
      <c r="M85">
        <f t="shared" si="9"/>
        <v>1.2304489213782739</v>
      </c>
      <c r="N85">
        <f t="shared" si="10"/>
        <v>80</v>
      </c>
      <c r="X85">
        <f t="shared" si="13"/>
        <v>79</v>
      </c>
      <c r="Y85">
        <f t="shared" si="11"/>
        <v>1.3180633349627615</v>
      </c>
      <c r="Z85">
        <f t="shared" si="12"/>
        <v>21.8</v>
      </c>
      <c r="AA85" s="30">
        <v>20.8</v>
      </c>
      <c r="AB85">
        <v>53.9</v>
      </c>
    </row>
    <row r="86" spans="2:28" x14ac:dyDescent="0.35">
      <c r="B86">
        <v>23.9</v>
      </c>
      <c r="E86">
        <v>55.9</v>
      </c>
      <c r="K86">
        <v>24.3</v>
      </c>
      <c r="L86" s="29">
        <v>16.3</v>
      </c>
      <c r="M86">
        <f t="shared" si="9"/>
        <v>1.2121876044039579</v>
      </c>
      <c r="N86">
        <f t="shared" si="10"/>
        <v>81</v>
      </c>
      <c r="X86">
        <f t="shared" si="13"/>
        <v>80</v>
      </c>
      <c r="Y86">
        <f t="shared" si="11"/>
        <v>1.3159703454569178</v>
      </c>
      <c r="Z86">
        <f t="shared" si="12"/>
        <v>21.7</v>
      </c>
      <c r="AA86" s="30">
        <v>20.7</v>
      </c>
      <c r="AB86">
        <v>55.9</v>
      </c>
    </row>
    <row r="87" spans="2:28" x14ac:dyDescent="0.35">
      <c r="B87">
        <v>24.3</v>
      </c>
      <c r="E87">
        <v>20.9</v>
      </c>
      <c r="K87">
        <v>21</v>
      </c>
      <c r="L87" s="29">
        <v>16.2</v>
      </c>
      <c r="M87">
        <f t="shared" si="9"/>
        <v>1.209515014542631</v>
      </c>
      <c r="N87">
        <f t="shared" si="10"/>
        <v>82</v>
      </c>
      <c r="X87">
        <f t="shared" si="13"/>
        <v>81</v>
      </c>
      <c r="Y87">
        <f t="shared" si="11"/>
        <v>1.3031960574204888</v>
      </c>
      <c r="Z87">
        <f t="shared" si="12"/>
        <v>21.1</v>
      </c>
      <c r="AA87" s="30">
        <v>20.100000000000001</v>
      </c>
      <c r="AB87">
        <v>20.9</v>
      </c>
    </row>
    <row r="88" spans="2:28" x14ac:dyDescent="0.35">
      <c r="B88">
        <v>21</v>
      </c>
      <c r="E88">
        <v>61.1</v>
      </c>
      <c r="K88">
        <v>31.2</v>
      </c>
      <c r="L88" s="27">
        <v>15.8</v>
      </c>
      <c r="M88">
        <f t="shared" si="9"/>
        <v>1.1986570869544226</v>
      </c>
      <c r="N88">
        <f t="shared" si="10"/>
        <v>83</v>
      </c>
      <c r="X88">
        <f t="shared" si="13"/>
        <v>82</v>
      </c>
      <c r="Y88">
        <f t="shared" si="11"/>
        <v>1.3010299956639813</v>
      </c>
      <c r="Z88">
        <f t="shared" si="12"/>
        <v>21</v>
      </c>
      <c r="AA88" s="30">
        <v>20</v>
      </c>
      <c r="AB88">
        <v>61.1</v>
      </c>
    </row>
    <row r="89" spans="2:28" x14ac:dyDescent="0.35">
      <c r="B89">
        <v>31.2</v>
      </c>
      <c r="E89">
        <v>2.71</v>
      </c>
      <c r="K89">
        <v>25.7</v>
      </c>
      <c r="L89" s="27">
        <v>14.2</v>
      </c>
      <c r="M89">
        <f t="shared" si="9"/>
        <v>1.1522883443830565</v>
      </c>
      <c r="N89">
        <f t="shared" si="10"/>
        <v>84</v>
      </c>
      <c r="X89">
        <f t="shared" si="13"/>
        <v>83</v>
      </c>
      <c r="Y89">
        <f t="shared" si="11"/>
        <v>1.2900346113625181</v>
      </c>
      <c r="Z89">
        <f t="shared" si="12"/>
        <v>20.5</v>
      </c>
      <c r="AA89" s="30">
        <v>19.5</v>
      </c>
      <c r="AB89">
        <v>2.71</v>
      </c>
    </row>
    <row r="90" spans="2:28" x14ac:dyDescent="0.35">
      <c r="B90">
        <v>25.7</v>
      </c>
      <c r="E90">
        <v>17.5</v>
      </c>
      <c r="K90">
        <v>29.2</v>
      </c>
      <c r="L90">
        <v>11.9</v>
      </c>
      <c r="M90">
        <f t="shared" si="9"/>
        <v>1.0755469613925308</v>
      </c>
      <c r="N90">
        <f t="shared" si="10"/>
        <v>85</v>
      </c>
      <c r="X90">
        <f t="shared" si="13"/>
        <v>84</v>
      </c>
      <c r="Y90">
        <f t="shared" si="11"/>
        <v>1.2787536009528289</v>
      </c>
      <c r="Z90">
        <f t="shared" si="12"/>
        <v>20</v>
      </c>
      <c r="AA90" s="30">
        <v>19</v>
      </c>
      <c r="AB90">
        <v>17.5</v>
      </c>
    </row>
    <row r="91" spans="2:28" x14ac:dyDescent="0.35">
      <c r="B91">
        <v>29.2</v>
      </c>
      <c r="E91">
        <v>2.59</v>
      </c>
      <c r="K91">
        <v>19.7</v>
      </c>
      <c r="L91">
        <v>8.77</v>
      </c>
      <c r="M91">
        <f t="shared" si="9"/>
        <v>0.94299959336604045</v>
      </c>
      <c r="N91">
        <f t="shared" si="10"/>
        <v>86</v>
      </c>
      <c r="X91">
        <f t="shared" si="13"/>
        <v>85</v>
      </c>
      <c r="Y91">
        <f t="shared" si="11"/>
        <v>1.2576785748691846</v>
      </c>
      <c r="Z91">
        <f t="shared" si="12"/>
        <v>19.100000000000001</v>
      </c>
      <c r="AA91" s="30">
        <v>18.100000000000001</v>
      </c>
      <c r="AB91">
        <v>2.59</v>
      </c>
    </row>
    <row r="92" spans="2:28" x14ac:dyDescent="0.35">
      <c r="B92">
        <v>19.7</v>
      </c>
      <c r="E92">
        <v>1.1200000000000001</v>
      </c>
      <c r="X92">
        <f t="shared" si="13"/>
        <v>86</v>
      </c>
      <c r="Y92">
        <f t="shared" si="11"/>
        <v>1.2528530309798931</v>
      </c>
      <c r="Z92">
        <f t="shared" si="12"/>
        <v>18.899999999999999</v>
      </c>
      <c r="AA92" s="30">
        <v>17.899999999999999</v>
      </c>
      <c r="AB92">
        <v>1.1200000000000001</v>
      </c>
    </row>
    <row r="93" spans="2:28" x14ac:dyDescent="0.35">
      <c r="E93">
        <v>29.8</v>
      </c>
      <c r="X93">
        <f t="shared" si="13"/>
        <v>87</v>
      </c>
      <c r="Y93">
        <f t="shared" si="11"/>
        <v>1.2430380486862944</v>
      </c>
      <c r="Z93">
        <f t="shared" si="12"/>
        <v>18.5</v>
      </c>
      <c r="AA93" s="30">
        <v>17.5</v>
      </c>
      <c r="AB93">
        <v>29.8</v>
      </c>
    </row>
    <row r="94" spans="2:28" ht="15" x14ac:dyDescent="0.4">
      <c r="B94" s="6">
        <f>SUM(B7:B92)/86</f>
        <v>35.203139534883711</v>
      </c>
      <c r="E94">
        <v>51.8</v>
      </c>
      <c r="X94">
        <f t="shared" si="13"/>
        <v>88</v>
      </c>
      <c r="Y94">
        <f t="shared" si="11"/>
        <v>1.2278867046136734</v>
      </c>
      <c r="Z94">
        <f t="shared" si="12"/>
        <v>17.899999999999999</v>
      </c>
      <c r="AA94" s="30">
        <v>16.899999999999999</v>
      </c>
      <c r="AB94">
        <v>51.8</v>
      </c>
    </row>
    <row r="95" spans="2:28" x14ac:dyDescent="0.35">
      <c r="E95">
        <v>49.7</v>
      </c>
      <c r="X95">
        <f t="shared" si="13"/>
        <v>89</v>
      </c>
      <c r="Y95">
        <f t="shared" si="11"/>
        <v>1.2253092817258628</v>
      </c>
      <c r="Z95">
        <f t="shared" si="12"/>
        <v>17.8</v>
      </c>
      <c r="AA95" s="30">
        <v>16.8</v>
      </c>
      <c r="AB95">
        <v>49.7</v>
      </c>
    </row>
    <row r="96" spans="2:28" x14ac:dyDescent="0.35">
      <c r="E96">
        <v>70.400000000000006</v>
      </c>
      <c r="X96">
        <f t="shared" si="13"/>
        <v>90</v>
      </c>
      <c r="Y96">
        <f t="shared" si="11"/>
        <v>1.2201080880400552</v>
      </c>
      <c r="Z96">
        <f t="shared" si="12"/>
        <v>17.600000000000001</v>
      </c>
      <c r="AA96" s="30">
        <v>16.600000000000001</v>
      </c>
      <c r="AB96">
        <v>70.400000000000006</v>
      </c>
    </row>
    <row r="97" spans="5:28" x14ac:dyDescent="0.35">
      <c r="E97">
        <v>77.599999999999994</v>
      </c>
      <c r="X97">
        <f t="shared" si="13"/>
        <v>91</v>
      </c>
      <c r="Y97">
        <f t="shared" si="11"/>
        <v>1.1398790864012365</v>
      </c>
      <c r="Z97">
        <f t="shared" si="12"/>
        <v>14.8</v>
      </c>
      <c r="AA97">
        <v>13.8</v>
      </c>
      <c r="AB97">
        <v>77.599999999999994</v>
      </c>
    </row>
    <row r="98" spans="5:28" x14ac:dyDescent="0.35">
      <c r="E98">
        <v>43.5</v>
      </c>
      <c r="X98">
        <f t="shared" si="13"/>
        <v>92</v>
      </c>
      <c r="Y98">
        <f t="shared" si="11"/>
        <v>0.77158748088125539</v>
      </c>
      <c r="Z98">
        <f t="shared" si="12"/>
        <v>6.91</v>
      </c>
      <c r="AA98">
        <v>5.91</v>
      </c>
      <c r="AB98">
        <v>43.5</v>
      </c>
    </row>
    <row r="99" spans="5:28" x14ac:dyDescent="0.35">
      <c r="E99">
        <v>55</v>
      </c>
      <c r="X99">
        <f t="shared" si="13"/>
        <v>93</v>
      </c>
      <c r="Y99">
        <f t="shared" si="11"/>
        <v>0.73878055848436919</v>
      </c>
      <c r="Z99">
        <f t="shared" si="12"/>
        <v>6.48</v>
      </c>
      <c r="AA99">
        <v>5.48</v>
      </c>
      <c r="AB99">
        <v>55</v>
      </c>
    </row>
    <row r="100" spans="5:28" x14ac:dyDescent="0.35">
      <c r="E100">
        <v>48.9</v>
      </c>
      <c r="X100">
        <f t="shared" si="13"/>
        <v>94</v>
      </c>
      <c r="Y100">
        <f t="shared" si="11"/>
        <v>0.6273658565927327</v>
      </c>
      <c r="Z100">
        <f t="shared" si="12"/>
        <v>5.24</v>
      </c>
      <c r="AA100">
        <v>4.24</v>
      </c>
      <c r="AB100">
        <v>48.9</v>
      </c>
    </row>
    <row r="101" spans="5:28" x14ac:dyDescent="0.35">
      <c r="E101">
        <v>52.5</v>
      </c>
      <c r="X101">
        <f t="shared" si="13"/>
        <v>95</v>
      </c>
      <c r="Y101">
        <f t="shared" si="11"/>
        <v>0.54654266347813107</v>
      </c>
      <c r="Z101">
        <f t="shared" si="12"/>
        <v>4.5199999999999996</v>
      </c>
      <c r="AA101">
        <v>3.52</v>
      </c>
      <c r="AB101">
        <v>52.5</v>
      </c>
    </row>
    <row r="102" spans="5:28" x14ac:dyDescent="0.35">
      <c r="E102">
        <v>28.3</v>
      </c>
      <c r="X102">
        <f t="shared" si="13"/>
        <v>96</v>
      </c>
      <c r="Y102">
        <f t="shared" si="11"/>
        <v>0.43296929087440572</v>
      </c>
      <c r="Z102">
        <f t="shared" si="12"/>
        <v>3.71</v>
      </c>
      <c r="AA102">
        <v>2.71</v>
      </c>
      <c r="AB102">
        <v>28.3</v>
      </c>
    </row>
    <row r="103" spans="5:28" x14ac:dyDescent="0.35">
      <c r="E103">
        <v>118</v>
      </c>
      <c r="X103">
        <f t="shared" si="13"/>
        <v>97</v>
      </c>
      <c r="Y103">
        <f t="shared" si="11"/>
        <v>0.4132997640812518</v>
      </c>
      <c r="Z103">
        <f t="shared" si="12"/>
        <v>3.59</v>
      </c>
      <c r="AA103">
        <v>2.59</v>
      </c>
      <c r="AB103">
        <v>118</v>
      </c>
    </row>
    <row r="104" spans="5:28" x14ac:dyDescent="0.35">
      <c r="E104">
        <v>72.8</v>
      </c>
      <c r="X104">
        <f t="shared" si="13"/>
        <v>98</v>
      </c>
      <c r="Y104">
        <f t="shared" si="11"/>
        <v>0.38916608436453248</v>
      </c>
      <c r="Z104">
        <f t="shared" si="12"/>
        <v>3.45</v>
      </c>
      <c r="AA104">
        <v>2.4500000000000002</v>
      </c>
      <c r="AB104">
        <v>72.8</v>
      </c>
    </row>
    <row r="105" spans="5:28" x14ac:dyDescent="0.35">
      <c r="E105">
        <v>44.2</v>
      </c>
      <c r="X105">
        <f t="shared" si="13"/>
        <v>99</v>
      </c>
      <c r="Y105">
        <f t="shared" si="11"/>
        <v>0.20411998265592479</v>
      </c>
      <c r="Z105">
        <f t="shared" si="12"/>
        <v>2.6</v>
      </c>
      <c r="AA105">
        <v>1.6</v>
      </c>
      <c r="AB105">
        <v>44.2</v>
      </c>
    </row>
    <row r="106" spans="5:28" x14ac:dyDescent="0.35">
      <c r="E106">
        <v>119</v>
      </c>
      <c r="X106">
        <f t="shared" si="13"/>
        <v>100</v>
      </c>
      <c r="Y106">
        <f t="shared" si="11"/>
        <v>0.14301480025409505</v>
      </c>
      <c r="Z106">
        <f t="shared" si="12"/>
        <v>2.3899999999999997</v>
      </c>
      <c r="AA106">
        <v>1.39</v>
      </c>
      <c r="AB106">
        <v>119</v>
      </c>
    </row>
    <row r="107" spans="5:28" x14ac:dyDescent="0.35">
      <c r="E107">
        <v>52.9</v>
      </c>
      <c r="X107">
        <f t="shared" si="13"/>
        <v>101</v>
      </c>
      <c r="Y107">
        <f t="shared" si="11"/>
        <v>4.9218022670181653E-2</v>
      </c>
      <c r="Z107">
        <f t="shared" si="12"/>
        <v>2.12</v>
      </c>
      <c r="AA107">
        <v>1.1200000000000001</v>
      </c>
      <c r="AB107">
        <v>52.9</v>
      </c>
    </row>
    <row r="108" spans="5:28" x14ac:dyDescent="0.35">
      <c r="E108">
        <v>54.6</v>
      </c>
      <c r="X108">
        <f t="shared" si="13"/>
        <v>102</v>
      </c>
      <c r="Y108">
        <f t="shared" si="11"/>
        <v>-0.36653154442041347</v>
      </c>
      <c r="Z108">
        <f t="shared" si="12"/>
        <v>1.43</v>
      </c>
      <c r="AA108">
        <v>0.43</v>
      </c>
      <c r="AB108">
        <v>54.6</v>
      </c>
    </row>
    <row r="110" spans="5:28" ht="15" x14ac:dyDescent="0.4">
      <c r="E110" s="6">
        <f>SUM(E7:E108)/102</f>
        <v>46.074901960784317</v>
      </c>
    </row>
  </sheetData>
  <sortState ref="AE7:AE35">
    <sortCondition descending="1" ref="AE7:AE35"/>
  </sortState>
  <phoneticPr fontId="1" type="noConversion"/>
  <pageMargins left="0.75" right="0.75" top="1" bottom="1" header="0.5" footer="0.5"/>
  <pageSetup orientation="portrait" r:id="rId1"/>
  <headerFooter alignWithMargins="0"/>
  <ignoredErrors>
    <ignoredError sqref="Z5 AF5" numberStoredAsText="1"/>
    <ignoredError sqref="AK9" twoDigitTextYear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C34" sqref="C34"/>
    </sheetView>
  </sheetViews>
  <sheetFormatPr defaultRowHeight="12.75" x14ac:dyDescent="0.35"/>
  <cols>
    <col min="1" max="1" width="14.46484375" customWidth="1"/>
    <col min="6" max="6" width="8.796875" style="3"/>
  </cols>
  <sheetData>
    <row r="1" spans="1:12" x14ac:dyDescent="0.35">
      <c r="A1" t="s">
        <v>0</v>
      </c>
    </row>
    <row r="2" spans="1:12" x14ac:dyDescent="0.35">
      <c r="A2" t="s">
        <v>91</v>
      </c>
    </row>
    <row r="3" spans="1:12" s="22" customFormat="1" x14ac:dyDescent="0.35">
      <c r="A3" s="22" t="s">
        <v>4</v>
      </c>
      <c r="B3" s="3" t="s">
        <v>59</v>
      </c>
      <c r="C3" s="3" t="s">
        <v>95</v>
      </c>
      <c r="D3" s="3"/>
      <c r="E3" s="3"/>
      <c r="F3" s="287" t="s">
        <v>95</v>
      </c>
      <c r="G3" s="287"/>
      <c r="H3" s="3"/>
      <c r="I3" s="3"/>
      <c r="J3" s="3"/>
      <c r="K3" s="3"/>
      <c r="L3" s="3"/>
    </row>
    <row r="4" spans="1:12" x14ac:dyDescent="0.35">
      <c r="A4" t="s">
        <v>2</v>
      </c>
      <c r="B4">
        <v>479607</v>
      </c>
      <c r="C4">
        <v>479705</v>
      </c>
      <c r="F4" s="3" t="s">
        <v>280</v>
      </c>
      <c r="G4" s="16" t="s">
        <v>34</v>
      </c>
    </row>
    <row r="5" spans="1:12" x14ac:dyDescent="0.35">
      <c r="A5" t="s">
        <v>1</v>
      </c>
      <c r="B5">
        <v>5439212</v>
      </c>
      <c r="C5">
        <v>5438966</v>
      </c>
    </row>
    <row r="6" spans="1:12" ht="13.15" x14ac:dyDescent="0.4">
      <c r="B6" s="12"/>
    </row>
    <row r="7" spans="1:12" x14ac:dyDescent="0.35">
      <c r="B7">
        <v>0.36</v>
      </c>
      <c r="C7">
        <v>0.28000000000000003</v>
      </c>
      <c r="F7" s="3" t="s">
        <v>343</v>
      </c>
      <c r="G7" s="40">
        <f>COUNTIF(C$7:C$34,"&gt;=0")-COUNTIF(C$7:C$34,"&gt;0.199")</f>
        <v>0</v>
      </c>
    </row>
    <row r="8" spans="1:12" x14ac:dyDescent="0.35">
      <c r="B8">
        <v>0.42</v>
      </c>
      <c r="C8">
        <v>0.28000000000000003</v>
      </c>
      <c r="F8" s="3" t="s">
        <v>200</v>
      </c>
      <c r="G8" s="40">
        <f>COUNTIF(C$7:C$34,"&gt;=0.2")-COUNTIF(C$7:C$34,"&gt;0.299")</f>
        <v>3</v>
      </c>
    </row>
    <row r="9" spans="1:12" x14ac:dyDescent="0.35">
      <c r="B9">
        <v>0.43</v>
      </c>
      <c r="C9">
        <v>0.38</v>
      </c>
      <c r="F9" s="3" t="s">
        <v>199</v>
      </c>
      <c r="G9" s="40">
        <f>COUNTIF(C$7:C$34,"&gt;=0.3")-COUNTIF(C$7:C$34,"&gt;0.399")</f>
        <v>11</v>
      </c>
    </row>
    <row r="10" spans="1:12" x14ac:dyDescent="0.35">
      <c r="B10">
        <v>0.39</v>
      </c>
      <c r="C10">
        <v>0.38</v>
      </c>
      <c r="F10" s="3" t="s">
        <v>201</v>
      </c>
      <c r="G10" s="40">
        <f>COUNTIF(C$7:C$34,"&gt;=0.4")-COUNTIF(C$7:C$34,"&gt;0.499")</f>
        <v>5</v>
      </c>
    </row>
    <row r="11" spans="1:12" x14ac:dyDescent="0.35">
      <c r="B11">
        <v>0.38</v>
      </c>
      <c r="C11">
        <v>0.28999999999999998</v>
      </c>
      <c r="F11" s="3" t="s">
        <v>202</v>
      </c>
      <c r="G11" s="40">
        <f>COUNTIF(C$7:C$34,"&gt;=0.5")-COUNTIF(C$7:C$34,"&gt;0.599")</f>
        <v>2</v>
      </c>
    </row>
    <row r="12" spans="1:12" x14ac:dyDescent="0.35">
      <c r="B12">
        <v>0.24</v>
      </c>
      <c r="C12">
        <v>0.41</v>
      </c>
      <c r="F12" s="3" t="s">
        <v>203</v>
      </c>
      <c r="G12" s="40">
        <f>COUNTIF(C$7:C$34,"&gt;=0.6")-COUNTIF(C$7:C$34,"&gt;0.699")</f>
        <v>0</v>
      </c>
    </row>
    <row r="13" spans="1:12" x14ac:dyDescent="0.35">
      <c r="B13">
        <v>0.33</v>
      </c>
      <c r="C13">
        <v>0.32</v>
      </c>
      <c r="F13" s="3" t="s">
        <v>204</v>
      </c>
      <c r="G13" s="40">
        <f>COUNTIF(C$7:C$34,"&gt;=0.7")-COUNTIF(C$7:C$34,"&gt;0.799")</f>
        <v>0</v>
      </c>
    </row>
    <row r="14" spans="1:12" x14ac:dyDescent="0.35">
      <c r="B14">
        <v>0.25</v>
      </c>
      <c r="C14">
        <v>0.39</v>
      </c>
      <c r="F14" s="3" t="s">
        <v>205</v>
      </c>
      <c r="G14" s="40">
        <f>COUNTIF(C$7:C$34,"&gt;=0.8")-COUNTIF(C$7:C$34,"&gt;0.899")</f>
        <v>1</v>
      </c>
    </row>
    <row r="15" spans="1:12" x14ac:dyDescent="0.35">
      <c r="B15">
        <v>0.39</v>
      </c>
      <c r="C15">
        <v>0.34</v>
      </c>
      <c r="F15" s="3" t="s">
        <v>206</v>
      </c>
      <c r="G15" s="40">
        <f>COUNTIF(C$7:C$34,"&gt;=0.9")-COUNTIF(C$7:C$34,"&gt;0.999")</f>
        <v>2</v>
      </c>
    </row>
    <row r="16" spans="1:12" x14ac:dyDescent="0.35">
      <c r="B16">
        <v>0.28999999999999998</v>
      </c>
      <c r="C16">
        <v>0.87</v>
      </c>
      <c r="F16" s="3" t="s">
        <v>207</v>
      </c>
      <c r="G16" s="40">
        <f>COUNTIF(C$7:C$34,"&gt;=1.0")-COUNTIF(C$7:C$34,"&gt;1.199")</f>
        <v>1</v>
      </c>
    </row>
    <row r="17" spans="2:7" x14ac:dyDescent="0.35">
      <c r="B17">
        <v>0.3</v>
      </c>
      <c r="C17">
        <v>0.36</v>
      </c>
      <c r="F17" s="3" t="s">
        <v>208</v>
      </c>
      <c r="G17" s="40">
        <f>COUNTIF(C$7:C$34,"&gt;=1.1")-COUNTIF(C$7:C$34,"&gt;1.199")</f>
        <v>0</v>
      </c>
    </row>
    <row r="18" spans="2:7" x14ac:dyDescent="0.35">
      <c r="B18">
        <v>0.28999999999999998</v>
      </c>
      <c r="C18">
        <v>0.43</v>
      </c>
      <c r="F18" s="3" t="s">
        <v>209</v>
      </c>
      <c r="G18" s="40">
        <f>COUNTIF(C$7:C$34,"&gt;=1.2")-COUNTIF(C$7:C$34,"&gt;1.299")</f>
        <v>2</v>
      </c>
    </row>
    <row r="19" spans="2:7" x14ac:dyDescent="0.35">
      <c r="B19">
        <v>0.42</v>
      </c>
      <c r="C19">
        <v>0.99</v>
      </c>
      <c r="F19" s="3" t="s">
        <v>210</v>
      </c>
      <c r="G19" s="40">
        <f>COUNTIF(C$7:C$34,"&gt;=1.3")-COUNTIF(C$7:C$34,"&gt;1.399")</f>
        <v>0</v>
      </c>
    </row>
    <row r="20" spans="2:7" x14ac:dyDescent="0.35">
      <c r="B20">
        <v>0.35</v>
      </c>
      <c r="C20">
        <v>0.33</v>
      </c>
      <c r="F20" s="3" t="s">
        <v>211</v>
      </c>
      <c r="G20" s="40">
        <f>COUNTIF(C$7:C$34,"&gt;=1.4")-COUNTIF(C$7:C$34,"&gt;1.499")</f>
        <v>1</v>
      </c>
    </row>
    <row r="21" spans="2:7" x14ac:dyDescent="0.35">
      <c r="B21">
        <v>0.4</v>
      </c>
      <c r="C21">
        <v>0.31</v>
      </c>
      <c r="F21" s="3" t="s">
        <v>344</v>
      </c>
      <c r="G21" s="40">
        <f>COUNTIF(C$7:C$34,"&gt;=1.5")</f>
        <v>0</v>
      </c>
    </row>
    <row r="22" spans="2:7" x14ac:dyDescent="0.35">
      <c r="B22">
        <v>0.34</v>
      </c>
      <c r="C22">
        <v>0.31</v>
      </c>
    </row>
    <row r="23" spans="2:7" x14ac:dyDescent="0.35">
      <c r="B23">
        <v>0.47</v>
      </c>
      <c r="C23">
        <v>0.35</v>
      </c>
    </row>
    <row r="24" spans="2:7" x14ac:dyDescent="0.35">
      <c r="B24">
        <v>0.4</v>
      </c>
      <c r="C24">
        <v>0.92</v>
      </c>
    </row>
    <row r="25" spans="2:7" x14ac:dyDescent="0.35">
      <c r="B25">
        <v>0.3</v>
      </c>
      <c r="C25">
        <v>0.55000000000000004</v>
      </c>
    </row>
    <row r="26" spans="2:7" x14ac:dyDescent="0.35">
      <c r="B26">
        <v>0.38</v>
      </c>
      <c r="C26">
        <v>1.2</v>
      </c>
    </row>
    <row r="27" spans="2:7" x14ac:dyDescent="0.35">
      <c r="B27">
        <v>0.42</v>
      </c>
      <c r="C27">
        <v>1.23</v>
      </c>
    </row>
    <row r="28" spans="2:7" x14ac:dyDescent="0.35">
      <c r="B28">
        <v>0.36</v>
      </c>
      <c r="C28">
        <v>0.41</v>
      </c>
    </row>
    <row r="29" spans="2:7" x14ac:dyDescent="0.35">
      <c r="B29">
        <v>0.31</v>
      </c>
      <c r="C29">
        <v>0.56999999999999995</v>
      </c>
    </row>
    <row r="30" spans="2:7" x14ac:dyDescent="0.35">
      <c r="C30">
        <v>0.41</v>
      </c>
    </row>
    <row r="31" spans="2:7" ht="15" x14ac:dyDescent="0.4">
      <c r="B31" s="6">
        <f>SUM(B7:B29)/23</f>
        <v>0.35739130434782601</v>
      </c>
      <c r="C31">
        <v>1.4</v>
      </c>
    </row>
    <row r="32" spans="2:7" x14ac:dyDescent="0.35">
      <c r="C32">
        <v>0.44</v>
      </c>
    </row>
    <row r="33" spans="3:3" x14ac:dyDescent="0.35">
      <c r="C33">
        <v>0.33</v>
      </c>
    </row>
    <row r="34" spans="3:3" x14ac:dyDescent="0.35">
      <c r="C34">
        <v>1.0900000000000001</v>
      </c>
    </row>
    <row r="36" spans="3:3" ht="15" x14ac:dyDescent="0.4">
      <c r="C36" s="6">
        <f>SUM(C7:C34)/28</f>
        <v>0.55607142857142855</v>
      </c>
    </row>
  </sheetData>
  <mergeCells count="1">
    <mergeCell ref="F3:G3"/>
  </mergeCells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>
      <selection activeCell="A8" sqref="A8"/>
    </sheetView>
  </sheetViews>
  <sheetFormatPr defaultRowHeight="12.75" x14ac:dyDescent="0.35"/>
  <cols>
    <col min="1" max="1" width="14.46484375" customWidth="1"/>
    <col min="7" max="7" width="13" customWidth="1"/>
  </cols>
  <sheetData>
    <row r="1" spans="1:19" x14ac:dyDescent="0.35">
      <c r="A1" t="s">
        <v>0</v>
      </c>
    </row>
    <row r="2" spans="1:19" x14ac:dyDescent="0.35">
      <c r="A2" t="s">
        <v>91</v>
      </c>
    </row>
    <row r="3" spans="1:19" x14ac:dyDescent="0.35">
      <c r="A3" t="s">
        <v>4</v>
      </c>
      <c r="B3" s="3" t="s">
        <v>8</v>
      </c>
      <c r="C3" s="3" t="s">
        <v>7</v>
      </c>
      <c r="D3" s="3" t="s">
        <v>6</v>
      </c>
      <c r="E3" s="3" t="s">
        <v>5</v>
      </c>
      <c r="F3" s="3" t="s">
        <v>9</v>
      </c>
      <c r="G3" s="3" t="s">
        <v>19</v>
      </c>
      <c r="H3" s="3" t="s">
        <v>20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5">
      <c r="A4" t="s">
        <v>2</v>
      </c>
      <c r="B4">
        <v>304219</v>
      </c>
      <c r="C4">
        <v>300311</v>
      </c>
      <c r="D4">
        <v>307853</v>
      </c>
      <c r="E4">
        <v>307123</v>
      </c>
      <c r="F4">
        <v>306948</v>
      </c>
      <c r="G4">
        <v>376555</v>
      </c>
      <c r="H4">
        <v>377399</v>
      </c>
    </row>
    <row r="5" spans="1:19" x14ac:dyDescent="0.35">
      <c r="A5" t="s">
        <v>1</v>
      </c>
      <c r="B5">
        <v>5468494</v>
      </c>
      <c r="C5">
        <v>5465988</v>
      </c>
      <c r="D5">
        <v>5496902</v>
      </c>
      <c r="E5">
        <v>5497907</v>
      </c>
      <c r="F5">
        <v>5497557</v>
      </c>
      <c r="G5">
        <v>5464968</v>
      </c>
      <c r="H5">
        <v>5470523</v>
      </c>
    </row>
    <row r="6" spans="1:19" x14ac:dyDescent="0.35">
      <c r="G6" t="s">
        <v>21</v>
      </c>
    </row>
    <row r="7" spans="1:19" s="1" customFormat="1" x14ac:dyDescent="0.35">
      <c r="B7" s="1">
        <v>0.04</v>
      </c>
      <c r="C7" s="1">
        <v>0.05</v>
      </c>
      <c r="D7" s="1">
        <v>0.03</v>
      </c>
      <c r="E7" s="1">
        <v>0.01</v>
      </c>
      <c r="F7" s="1">
        <v>0.03</v>
      </c>
      <c r="G7" s="1">
        <v>0.05</v>
      </c>
      <c r="H7" s="1">
        <v>0.05</v>
      </c>
    </row>
    <row r="8" spans="1:19" x14ac:dyDescent="0.35">
      <c r="B8">
        <v>0.05</v>
      </c>
      <c r="C8">
        <v>0.05</v>
      </c>
      <c r="D8">
        <v>0.05</v>
      </c>
      <c r="E8">
        <v>0.06</v>
      </c>
      <c r="F8">
        <v>0.04</v>
      </c>
      <c r="G8">
        <v>0.02</v>
      </c>
      <c r="H8">
        <v>0.03</v>
      </c>
    </row>
    <row r="9" spans="1:19" x14ac:dyDescent="0.35">
      <c r="B9">
        <v>0.04</v>
      </c>
      <c r="C9">
        <v>0.06</v>
      </c>
      <c r="D9">
        <v>0.05</v>
      </c>
      <c r="E9">
        <v>0.04</v>
      </c>
      <c r="F9">
        <v>0.03</v>
      </c>
      <c r="G9">
        <v>0.03</v>
      </c>
      <c r="H9">
        <v>0.04</v>
      </c>
    </row>
    <row r="10" spans="1:19" x14ac:dyDescent="0.35">
      <c r="B10">
        <v>0.05</v>
      </c>
      <c r="C10">
        <v>0.08</v>
      </c>
      <c r="D10">
        <v>0.09</v>
      </c>
      <c r="E10">
        <v>0.03</v>
      </c>
      <c r="F10">
        <v>0.03</v>
      </c>
      <c r="G10">
        <v>0.03</v>
      </c>
      <c r="H10">
        <v>0.03</v>
      </c>
    </row>
    <row r="11" spans="1:19" x14ac:dyDescent="0.35">
      <c r="B11">
        <v>0.04</v>
      </c>
      <c r="C11">
        <v>0.05</v>
      </c>
      <c r="D11">
        <v>0.08</v>
      </c>
      <c r="E11">
        <v>0.05</v>
      </c>
      <c r="F11">
        <v>0.01</v>
      </c>
      <c r="G11">
        <v>0.04</v>
      </c>
      <c r="H11">
        <v>0.04</v>
      </c>
    </row>
    <row r="12" spans="1:19" s="1" customFormat="1" x14ac:dyDescent="0.35">
      <c r="B12" s="1">
        <v>0.03</v>
      </c>
      <c r="C12" s="1">
        <v>0.05</v>
      </c>
      <c r="D12" s="1">
        <v>0.2</v>
      </c>
      <c r="E12" s="1">
        <v>0.03</v>
      </c>
      <c r="F12" s="1">
        <v>0.03</v>
      </c>
      <c r="G12" s="1">
        <v>0.05</v>
      </c>
      <c r="H12" s="1">
        <v>0.06</v>
      </c>
    </row>
    <row r="13" spans="1:19" x14ac:dyDescent="0.35">
      <c r="B13">
        <v>0.03</v>
      </c>
      <c r="C13">
        <v>0.05</v>
      </c>
      <c r="D13">
        <v>0.04</v>
      </c>
      <c r="E13">
        <v>7.0000000000000007E-2</v>
      </c>
      <c r="F13">
        <v>0.01</v>
      </c>
      <c r="G13">
        <v>0.05</v>
      </c>
      <c r="H13">
        <v>7.0000000000000007E-2</v>
      </c>
    </row>
    <row r="14" spans="1:19" x14ac:dyDescent="0.35">
      <c r="B14">
        <v>0.05</v>
      </c>
      <c r="C14">
        <v>0.06</v>
      </c>
      <c r="D14">
        <v>0.04</v>
      </c>
      <c r="F14">
        <v>0.04</v>
      </c>
      <c r="G14">
        <v>0.04</v>
      </c>
      <c r="H14">
        <v>0.04</v>
      </c>
    </row>
    <row r="15" spans="1:19" x14ac:dyDescent="0.35">
      <c r="B15">
        <v>0.05</v>
      </c>
      <c r="C15">
        <v>0.04</v>
      </c>
      <c r="D15">
        <v>0.05</v>
      </c>
      <c r="F15">
        <v>0.03</v>
      </c>
      <c r="G15">
        <v>0.06</v>
      </c>
      <c r="H15">
        <v>0.05</v>
      </c>
    </row>
    <row r="16" spans="1:19" x14ac:dyDescent="0.35">
      <c r="B16">
        <v>7.0000000000000007E-2</v>
      </c>
      <c r="C16">
        <v>0.05</v>
      </c>
      <c r="D16">
        <v>0.08</v>
      </c>
      <c r="F16">
        <v>0.04</v>
      </c>
      <c r="G16">
        <v>0.05</v>
      </c>
      <c r="H16">
        <v>0.05</v>
      </c>
    </row>
    <row r="17" spans="1:9" s="1" customFormat="1" x14ac:dyDescent="0.35">
      <c r="B17" s="1">
        <v>0.08</v>
      </c>
      <c r="C17" s="1">
        <v>0.04</v>
      </c>
      <c r="D17" s="1">
        <v>0.1</v>
      </c>
      <c r="F17" s="1">
        <v>0.04</v>
      </c>
      <c r="G17" s="1">
        <v>0.04</v>
      </c>
      <c r="H17" s="1">
        <v>0.04</v>
      </c>
    </row>
    <row r="18" spans="1:9" x14ac:dyDescent="0.35">
      <c r="C18">
        <v>0.05</v>
      </c>
      <c r="D18">
        <v>0.18</v>
      </c>
      <c r="F18">
        <v>0.05</v>
      </c>
      <c r="G18">
        <v>0.04</v>
      </c>
      <c r="H18">
        <v>0.05</v>
      </c>
    </row>
    <row r="19" spans="1:9" x14ac:dyDescent="0.35">
      <c r="D19">
        <v>7.0000000000000007E-2</v>
      </c>
      <c r="G19">
        <v>0.06</v>
      </c>
      <c r="H19">
        <v>7.0000000000000007E-2</v>
      </c>
    </row>
    <row r="20" spans="1:9" x14ac:dyDescent="0.35">
      <c r="D20">
        <v>0.2</v>
      </c>
      <c r="G20">
        <v>0.03</v>
      </c>
      <c r="H20">
        <v>0.05</v>
      </c>
    </row>
    <row r="21" spans="1:9" x14ac:dyDescent="0.35">
      <c r="D21">
        <v>0.08</v>
      </c>
      <c r="G21">
        <v>0.04</v>
      </c>
      <c r="H21">
        <v>7.0000000000000007E-2</v>
      </c>
    </row>
    <row r="22" spans="1:9" x14ac:dyDescent="0.35">
      <c r="D22">
        <v>0.04</v>
      </c>
      <c r="G22">
        <v>0.04</v>
      </c>
      <c r="H22">
        <v>0.06</v>
      </c>
    </row>
    <row r="23" spans="1:9" ht="15" x14ac:dyDescent="0.4">
      <c r="A23" s="6" t="s">
        <v>3</v>
      </c>
      <c r="B23" s="6">
        <f>SUM(B7:B17)/11</f>
        <v>4.8181818181818187E-2</v>
      </c>
      <c r="C23" s="6">
        <f>SUM(C7:C18)/12</f>
        <v>5.2499999999999998E-2</v>
      </c>
      <c r="D23" s="4">
        <v>0.04</v>
      </c>
      <c r="E23" s="6">
        <f>SUM(E7:E13)/7</f>
        <v>4.1428571428571433E-2</v>
      </c>
      <c r="F23" s="6">
        <f>SUM(F7:F18)/12</f>
        <v>3.1666666666666662E-2</v>
      </c>
      <c r="G23" s="4">
        <v>0.04</v>
      </c>
      <c r="H23" s="4">
        <v>0.04</v>
      </c>
      <c r="I23" s="4"/>
    </row>
    <row r="24" spans="1:9" x14ac:dyDescent="0.35">
      <c r="A24" s="4"/>
      <c r="B24" s="4"/>
      <c r="C24" s="4"/>
      <c r="D24" s="4">
        <v>0.04</v>
      </c>
      <c r="E24" s="4"/>
      <c r="F24" s="4"/>
      <c r="G24" s="4">
        <v>0.04</v>
      </c>
      <c r="H24" s="4">
        <v>0.05</v>
      </c>
      <c r="I24" s="4"/>
    </row>
    <row r="25" spans="1:9" x14ac:dyDescent="0.35">
      <c r="A25" s="4"/>
      <c r="B25" s="4"/>
      <c r="C25" s="4"/>
      <c r="D25" s="4">
        <v>0.05</v>
      </c>
      <c r="E25" s="4"/>
      <c r="F25" s="4"/>
      <c r="G25" s="4">
        <v>0.05</v>
      </c>
      <c r="H25" s="4">
        <v>0.08</v>
      </c>
      <c r="I25" s="4"/>
    </row>
    <row r="26" spans="1:9" x14ac:dyDescent="0.35">
      <c r="A26" s="4"/>
      <c r="B26" s="4"/>
      <c r="C26" s="4"/>
      <c r="D26" s="4">
        <v>0.02</v>
      </c>
      <c r="E26" s="4"/>
      <c r="F26" s="4"/>
      <c r="G26" s="4">
        <v>0.04</v>
      </c>
      <c r="H26" s="4">
        <v>0.03</v>
      </c>
      <c r="I26" s="4"/>
    </row>
    <row r="27" spans="1:9" x14ac:dyDescent="0.35">
      <c r="A27" s="4"/>
      <c r="B27" s="4"/>
      <c r="C27" s="4"/>
      <c r="D27" s="4">
        <v>0.03</v>
      </c>
      <c r="E27" s="4"/>
      <c r="F27" s="4"/>
      <c r="G27" s="4">
        <v>0.02</v>
      </c>
      <c r="H27" s="4"/>
      <c r="I27" s="4"/>
    </row>
    <row r="28" spans="1:9" x14ac:dyDescent="0.35">
      <c r="A28" s="4"/>
      <c r="B28" s="4"/>
      <c r="C28" s="4"/>
      <c r="D28" s="4">
        <v>0.03</v>
      </c>
      <c r="E28" s="4"/>
      <c r="F28" s="4"/>
      <c r="G28" s="4">
        <v>0.05</v>
      </c>
      <c r="H28" s="4"/>
      <c r="I28" s="4"/>
    </row>
    <row r="29" spans="1:9" x14ac:dyDescent="0.35">
      <c r="A29" s="4"/>
      <c r="B29" s="4"/>
      <c r="C29" s="4"/>
      <c r="D29" s="4">
        <v>0.04</v>
      </c>
      <c r="E29" s="4"/>
      <c r="F29" s="4"/>
      <c r="G29" s="4">
        <v>0.05</v>
      </c>
      <c r="H29" s="4"/>
      <c r="I29" s="4"/>
    </row>
    <row r="30" spans="1:9" x14ac:dyDescent="0.35">
      <c r="A30" s="4"/>
      <c r="B30" s="4"/>
      <c r="C30" s="4"/>
      <c r="D30" s="4">
        <v>0.05</v>
      </c>
      <c r="E30" s="4"/>
      <c r="F30" s="4"/>
      <c r="G30" s="4">
        <v>0.04</v>
      </c>
      <c r="H30" s="4"/>
      <c r="I30" s="4"/>
    </row>
    <row r="31" spans="1:9" x14ac:dyDescent="0.35">
      <c r="A31" s="4"/>
      <c r="B31" s="4"/>
      <c r="C31" s="4"/>
      <c r="D31" s="4">
        <v>0.03</v>
      </c>
      <c r="E31" s="4"/>
      <c r="F31" s="4"/>
      <c r="G31" s="4">
        <v>0.04</v>
      </c>
      <c r="H31" s="4"/>
      <c r="I31" s="4"/>
    </row>
    <row r="32" spans="1:9" x14ac:dyDescent="0.35">
      <c r="A32" s="4"/>
      <c r="B32" s="4"/>
      <c r="C32" s="4"/>
      <c r="D32" s="4">
        <v>0.03</v>
      </c>
      <c r="E32" s="4"/>
      <c r="F32" s="4"/>
      <c r="G32" s="4">
        <v>0.04</v>
      </c>
      <c r="H32" s="4"/>
      <c r="I32" s="4"/>
    </row>
    <row r="33" spans="1:9" x14ac:dyDescent="0.35">
      <c r="A33" s="4"/>
      <c r="B33" s="4"/>
      <c r="C33" s="4"/>
      <c r="D33" s="4">
        <v>0.04</v>
      </c>
      <c r="E33" s="4"/>
      <c r="F33" s="4"/>
      <c r="G33" s="4">
        <v>0.03</v>
      </c>
      <c r="H33" s="4"/>
      <c r="I33" s="4"/>
    </row>
    <row r="34" spans="1:9" x14ac:dyDescent="0.35">
      <c r="A34" s="4"/>
      <c r="B34" s="4"/>
      <c r="C34" s="4"/>
      <c r="D34" s="4">
        <v>0.05</v>
      </c>
      <c r="E34" s="4"/>
      <c r="F34" s="4"/>
      <c r="G34" s="4">
        <v>0.03</v>
      </c>
      <c r="H34" s="4"/>
      <c r="I34" s="4"/>
    </row>
    <row r="35" spans="1:9" x14ac:dyDescent="0.35">
      <c r="A35" s="4"/>
      <c r="B35" s="4"/>
      <c r="C35" s="4"/>
      <c r="D35" s="4">
        <v>0.03</v>
      </c>
      <c r="E35" s="4"/>
      <c r="F35" s="4"/>
      <c r="G35" s="4">
        <v>0.03</v>
      </c>
      <c r="H35" s="4"/>
      <c r="I35" s="4"/>
    </row>
    <row r="36" spans="1:9" x14ac:dyDescent="0.35">
      <c r="A36" s="4"/>
      <c r="B36" s="4"/>
      <c r="C36" s="4"/>
      <c r="D36" s="4">
        <v>0.06</v>
      </c>
      <c r="E36" s="4"/>
      <c r="F36" s="4"/>
      <c r="G36" s="4">
        <v>0.04</v>
      </c>
      <c r="H36" s="4"/>
      <c r="I36" s="4"/>
    </row>
    <row r="37" spans="1:9" s="1" customFormat="1" x14ac:dyDescent="0.35">
      <c r="A37" s="5"/>
      <c r="B37" s="5"/>
      <c r="C37" s="5"/>
      <c r="D37" s="5">
        <v>0.06</v>
      </c>
      <c r="E37" s="5"/>
      <c r="F37" s="5"/>
      <c r="G37" s="5"/>
      <c r="H37" s="5"/>
      <c r="I37" s="5"/>
    </row>
    <row r="38" spans="1:9" x14ac:dyDescent="0.35">
      <c r="A38" s="4"/>
      <c r="B38" s="4"/>
      <c r="C38" s="4"/>
      <c r="D38" s="4">
        <v>0.06</v>
      </c>
      <c r="E38" s="4"/>
      <c r="F38" s="4"/>
      <c r="G38" s="4"/>
      <c r="H38" s="4"/>
      <c r="I38" s="4"/>
    </row>
    <row r="39" spans="1:9" x14ac:dyDescent="0.35">
      <c r="A39" s="4"/>
      <c r="B39" s="4"/>
      <c r="C39" s="4"/>
      <c r="D39" s="4"/>
      <c r="E39" s="4"/>
      <c r="F39" s="4"/>
      <c r="G39" s="4"/>
      <c r="H39" s="4"/>
      <c r="I39" s="4"/>
    </row>
    <row r="40" spans="1:9" ht="15" x14ac:dyDescent="0.4">
      <c r="A40" s="4"/>
      <c r="B40" s="4"/>
      <c r="C40" s="4"/>
      <c r="D40" s="6">
        <f>SUM(D7:D38)/32</f>
        <v>6.3750000000000015E-2</v>
      </c>
      <c r="E40" s="4"/>
      <c r="F40" s="4"/>
      <c r="G40" s="6">
        <f>SUM(G7:G36)/30</f>
        <v>4.0333333333333346E-2</v>
      </c>
      <c r="H40" s="6">
        <f>SUM(H7:H26)/20</f>
        <v>0.05</v>
      </c>
      <c r="I40" s="4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5"/>
  <sheetViews>
    <sheetView workbookViewId="0">
      <selection activeCell="D23" sqref="D23"/>
    </sheetView>
  </sheetViews>
  <sheetFormatPr defaultRowHeight="12.75" x14ac:dyDescent="0.35"/>
  <cols>
    <col min="1" max="1" width="12.796875" customWidth="1"/>
    <col min="2" max="2" width="20.1328125" customWidth="1"/>
    <col min="3" max="3" width="12" customWidth="1"/>
    <col min="4" max="4" width="12.19921875" customWidth="1"/>
    <col min="5" max="5" width="8.796875" bestFit="1" customWidth="1"/>
  </cols>
  <sheetData>
    <row r="1" spans="1:19" x14ac:dyDescent="0.35">
      <c r="A1" t="s">
        <v>0</v>
      </c>
    </row>
    <row r="2" spans="1:19" x14ac:dyDescent="0.35">
      <c r="A2" t="s">
        <v>91</v>
      </c>
    </row>
    <row r="4" spans="1:19" x14ac:dyDescent="0.35">
      <c r="B4" t="s">
        <v>486</v>
      </c>
      <c r="C4" t="s">
        <v>486</v>
      </c>
      <c r="E4" s="18" t="s">
        <v>444</v>
      </c>
    </row>
    <row r="5" spans="1:19" s="16" customFormat="1" x14ac:dyDescent="0.35">
      <c r="A5" s="16" t="s">
        <v>4</v>
      </c>
      <c r="B5" s="56" t="s">
        <v>40</v>
      </c>
      <c r="C5" s="56" t="s">
        <v>42</v>
      </c>
      <c r="D5" s="55" t="s">
        <v>146</v>
      </c>
      <c r="E5" s="55" t="s">
        <v>85</v>
      </c>
      <c r="F5" s="56"/>
      <c r="G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</row>
    <row r="6" spans="1:19" x14ac:dyDescent="0.35">
      <c r="A6" t="s">
        <v>2</v>
      </c>
      <c r="B6">
        <v>434853</v>
      </c>
      <c r="C6">
        <v>463233</v>
      </c>
      <c r="D6">
        <v>463084</v>
      </c>
      <c r="E6">
        <v>426583</v>
      </c>
    </row>
    <row r="7" spans="1:19" x14ac:dyDescent="0.35">
      <c r="A7" t="s">
        <v>1</v>
      </c>
      <c r="B7">
        <v>5443204</v>
      </c>
      <c r="C7">
        <v>5444807</v>
      </c>
      <c r="D7">
        <v>5444734</v>
      </c>
      <c r="E7">
        <v>54446437</v>
      </c>
    </row>
    <row r="8" spans="1:19" x14ac:dyDescent="0.35">
      <c r="B8" t="s">
        <v>43</v>
      </c>
      <c r="C8" t="s">
        <v>45</v>
      </c>
      <c r="E8" s="18" t="s">
        <v>446</v>
      </c>
    </row>
    <row r="9" spans="1:19" x14ac:dyDescent="0.35">
      <c r="B9" t="s">
        <v>44</v>
      </c>
      <c r="C9" s="10" t="s">
        <v>46</v>
      </c>
    </row>
    <row r="10" spans="1:19" x14ac:dyDescent="0.35">
      <c r="B10">
        <v>0.15</v>
      </c>
      <c r="C10">
        <v>0.1</v>
      </c>
      <c r="D10">
        <v>0.04</v>
      </c>
      <c r="E10">
        <v>0.02</v>
      </c>
      <c r="H10">
        <v>0.1</v>
      </c>
      <c r="I10" s="157" t="s">
        <v>468</v>
      </c>
      <c r="J10" s="40">
        <f>COUNTIF(H$10:H$85,"&gt;=0")-COUNTIF(H$10:H$85,"&gt;0.0099")</f>
        <v>0</v>
      </c>
      <c r="P10">
        <v>0.01</v>
      </c>
    </row>
    <row r="11" spans="1:19" x14ac:dyDescent="0.35">
      <c r="B11">
        <v>0.12</v>
      </c>
      <c r="C11">
        <v>0.09</v>
      </c>
      <c r="D11">
        <v>0.02</v>
      </c>
      <c r="E11">
        <v>0</v>
      </c>
      <c r="H11">
        <v>0.09</v>
      </c>
      <c r="I11" s="157" t="s">
        <v>469</v>
      </c>
      <c r="J11" s="40">
        <f>COUNTIF(H$10:H$85,"&gt;=0.01")-COUNTIF(H$10:H$85,"&gt;0.01999")</f>
        <v>1</v>
      </c>
      <c r="P11">
        <v>0.02</v>
      </c>
    </row>
    <row r="12" spans="1:19" x14ac:dyDescent="0.35">
      <c r="B12">
        <v>0.02</v>
      </c>
      <c r="C12">
        <v>7.0000000000000007E-2</v>
      </c>
      <c r="D12">
        <v>0.03</v>
      </c>
      <c r="E12">
        <v>0.03</v>
      </c>
      <c r="H12">
        <v>7.0000000000000007E-2</v>
      </c>
      <c r="I12" s="157" t="s">
        <v>470</v>
      </c>
      <c r="J12" s="40">
        <f>COUNTIF(H$10:H$85,"&gt;=0.02")-COUNTIF(H$10:H$85,"&gt;0.02999")</f>
        <v>6</v>
      </c>
      <c r="P12">
        <v>0.02</v>
      </c>
    </row>
    <row r="13" spans="1:19" x14ac:dyDescent="0.35">
      <c r="B13">
        <v>0.03</v>
      </c>
      <c r="C13">
        <v>0.09</v>
      </c>
      <c r="D13">
        <v>0.01</v>
      </c>
      <c r="E13">
        <v>0</v>
      </c>
      <c r="H13">
        <v>0.09</v>
      </c>
      <c r="I13" s="157" t="s">
        <v>471</v>
      </c>
      <c r="J13" s="40">
        <f>COUNTIF(H$10:H$85,"&gt;=0.03")-COUNTIF(H$10:H$85,"&gt;0.03999")</f>
        <v>16</v>
      </c>
      <c r="P13">
        <v>0.02</v>
      </c>
    </row>
    <row r="14" spans="1:19" x14ac:dyDescent="0.35">
      <c r="B14">
        <v>0.06</v>
      </c>
      <c r="C14">
        <v>0.09</v>
      </c>
      <c r="D14">
        <v>0.04</v>
      </c>
      <c r="E14">
        <v>0</v>
      </c>
      <c r="H14">
        <v>0.09</v>
      </c>
      <c r="I14" s="157" t="s">
        <v>472</v>
      </c>
      <c r="J14" s="40">
        <f>COUNTIF(H$10:H$85,"&gt;=0.04")-COUNTIF(H$10:H$85,"&gt;0.04999")</f>
        <v>9</v>
      </c>
      <c r="P14">
        <v>0.02</v>
      </c>
    </row>
    <row r="15" spans="1:19" x14ac:dyDescent="0.35">
      <c r="B15">
        <v>0.14000000000000001</v>
      </c>
      <c r="C15">
        <v>0.08</v>
      </c>
      <c r="D15">
        <v>0.02</v>
      </c>
      <c r="E15">
        <v>0</v>
      </c>
      <c r="H15">
        <v>0.08</v>
      </c>
      <c r="I15" s="157" t="s">
        <v>473</v>
      </c>
      <c r="J15" s="40">
        <f>COUNTIF(H$10:H$85,"&gt;=0.05")-COUNTIF(H$10:H$85,"&gt;0.05999")</f>
        <v>9</v>
      </c>
      <c r="P15">
        <v>0.02</v>
      </c>
    </row>
    <row r="16" spans="1:19" x14ac:dyDescent="0.35">
      <c r="B16">
        <v>0.03</v>
      </c>
      <c r="C16">
        <v>7.0000000000000007E-2</v>
      </c>
      <c r="D16">
        <v>0.02</v>
      </c>
      <c r="E16">
        <v>0.02</v>
      </c>
      <c r="H16">
        <v>7.0000000000000007E-2</v>
      </c>
      <c r="I16" s="157" t="s">
        <v>474</v>
      </c>
      <c r="J16" s="40">
        <f>COUNTIF(H$10:H$85,"&gt;=0.06")-COUNTIF(H$10:H$85,"&gt;0.06999")</f>
        <v>5</v>
      </c>
      <c r="P16">
        <v>0.02</v>
      </c>
    </row>
    <row r="17" spans="2:16" x14ac:dyDescent="0.35">
      <c r="B17">
        <v>7.0000000000000007E-2</v>
      </c>
      <c r="C17">
        <v>0.08</v>
      </c>
      <c r="D17">
        <v>0.03</v>
      </c>
      <c r="E17">
        <v>0</v>
      </c>
      <c r="H17">
        <v>0.08</v>
      </c>
      <c r="I17" s="157" t="s">
        <v>475</v>
      </c>
      <c r="J17" s="40">
        <f>COUNTIF(H$10:H$85,"&gt;=0.07")-COUNTIF(H$10:H$85,"&gt;0.07999")</f>
        <v>7</v>
      </c>
      <c r="P17">
        <v>0.03</v>
      </c>
    </row>
    <row r="18" spans="2:16" x14ac:dyDescent="0.35">
      <c r="B18">
        <v>0.08</v>
      </c>
      <c r="C18">
        <v>0.08</v>
      </c>
      <c r="D18">
        <v>0.05</v>
      </c>
      <c r="E18">
        <v>0</v>
      </c>
      <c r="H18">
        <v>0.08</v>
      </c>
      <c r="I18" s="157" t="s">
        <v>477</v>
      </c>
      <c r="J18" s="40">
        <f>COUNTIF(H$10:H$85,"&gt;=0.08")-COUNTIF(H$10:H$85,"&gt;0.08999")</f>
        <v>10</v>
      </c>
      <c r="P18">
        <v>0.03</v>
      </c>
    </row>
    <row r="19" spans="2:16" x14ac:dyDescent="0.35">
      <c r="B19">
        <v>0.1</v>
      </c>
      <c r="C19">
        <v>0.06</v>
      </c>
      <c r="D19">
        <v>0.03</v>
      </c>
      <c r="E19">
        <v>0</v>
      </c>
      <c r="H19">
        <v>0.06</v>
      </c>
      <c r="I19" s="157" t="s">
        <v>476</v>
      </c>
      <c r="J19" s="40">
        <f>COUNTIF(H$10:H$85,"&gt;=0.09")-COUNTIF(H$10:H$85,"&gt;0.09999")</f>
        <v>6</v>
      </c>
      <c r="P19">
        <v>0.03</v>
      </c>
    </row>
    <row r="20" spans="2:16" x14ac:dyDescent="0.35">
      <c r="B20">
        <v>0.04</v>
      </c>
      <c r="C20">
        <v>0.05</v>
      </c>
      <c r="D20">
        <v>0.03</v>
      </c>
      <c r="E20">
        <v>0</v>
      </c>
      <c r="H20">
        <v>0.05</v>
      </c>
      <c r="I20" s="157" t="s">
        <v>478</v>
      </c>
      <c r="J20" s="40">
        <f>COUNTIF(H$10:H$85,"&gt;=0.10")-COUNTIF(H$10:H$85,"&gt;0.109999")</f>
        <v>4</v>
      </c>
      <c r="P20">
        <v>0.03</v>
      </c>
    </row>
    <row r="21" spans="2:16" x14ac:dyDescent="0.35">
      <c r="B21">
        <v>0.03</v>
      </c>
      <c r="C21">
        <v>0.1</v>
      </c>
      <c r="D21">
        <v>0.03</v>
      </c>
      <c r="E21">
        <v>0.03</v>
      </c>
      <c r="H21">
        <v>0.1</v>
      </c>
      <c r="I21" s="157" t="s">
        <v>479</v>
      </c>
      <c r="J21" s="40">
        <f>COUNTIF(H$10:H$85,"&gt;=0.110")-COUNTIF(H$10:H$85,"&gt;0.119999")</f>
        <v>0</v>
      </c>
      <c r="P21">
        <v>0.03</v>
      </c>
    </row>
    <row r="22" spans="2:16" x14ac:dyDescent="0.35">
      <c r="B22">
        <v>0.04</v>
      </c>
      <c r="C22">
        <v>0.08</v>
      </c>
      <c r="D22">
        <v>0.06</v>
      </c>
      <c r="E22">
        <v>0.02</v>
      </c>
      <c r="H22">
        <v>0.08</v>
      </c>
      <c r="I22" s="157" t="s">
        <v>480</v>
      </c>
      <c r="J22" s="40">
        <f>COUNTIF(H$10:H$85,"&gt;=0.12")-COUNTIF(H$10:H$85,"&gt;0.129999")</f>
        <v>1</v>
      </c>
      <c r="P22">
        <v>0.03</v>
      </c>
    </row>
    <row r="23" spans="2:16" x14ac:dyDescent="0.35">
      <c r="B23">
        <v>0.03</v>
      </c>
      <c r="C23">
        <v>7.0000000000000007E-2</v>
      </c>
      <c r="D23">
        <v>0.02</v>
      </c>
      <c r="E23">
        <v>0.01</v>
      </c>
      <c r="H23">
        <v>7.0000000000000007E-2</v>
      </c>
      <c r="I23" s="157" t="s">
        <v>481</v>
      </c>
      <c r="J23" s="40">
        <f>COUNTIF(H$10:H$85,"&gt;=0.130")-COUNTIF(H$10:H$85,"&gt;0.139999")</f>
        <v>0</v>
      </c>
      <c r="P23">
        <v>0.03</v>
      </c>
    </row>
    <row r="24" spans="2:16" x14ac:dyDescent="0.35">
      <c r="B24">
        <v>0.03</v>
      </c>
      <c r="C24">
        <v>7.0000000000000007E-2</v>
      </c>
      <c r="E24">
        <v>0</v>
      </c>
      <c r="H24">
        <v>7.0000000000000007E-2</v>
      </c>
      <c r="I24" s="157" t="s">
        <v>482</v>
      </c>
      <c r="J24" s="40">
        <f>COUNTIF(H$10:H$85,"&gt;=0.140")-COUNTIF(H$10:H$85,"&gt;0.149999")</f>
        <v>1</v>
      </c>
      <c r="P24">
        <v>0.03</v>
      </c>
    </row>
    <row r="25" spans="2:16" ht="15" x14ac:dyDescent="0.4">
      <c r="B25">
        <v>0.1</v>
      </c>
      <c r="C25">
        <v>0.08</v>
      </c>
      <c r="D25" s="6">
        <f>SUM(D10:D23)/14</f>
        <v>3.0714285714285715E-2</v>
      </c>
      <c r="E25">
        <v>0.01</v>
      </c>
      <c r="H25">
        <v>0.08</v>
      </c>
      <c r="I25" s="157" t="s">
        <v>483</v>
      </c>
      <c r="J25" s="40">
        <f>COUNTIF(H$10:H$85,"&gt;=0.150")-COUNTIF(H$10:H$85,"&gt;0.159999")</f>
        <v>1</v>
      </c>
      <c r="P25">
        <v>0.03</v>
      </c>
    </row>
    <row r="26" spans="2:16" x14ac:dyDescent="0.35">
      <c r="B26">
        <v>0.05</v>
      </c>
      <c r="C26">
        <v>7.0000000000000007E-2</v>
      </c>
      <c r="E26">
        <v>0.02</v>
      </c>
      <c r="H26">
        <v>7.0000000000000007E-2</v>
      </c>
      <c r="I26" s="157" t="s">
        <v>487</v>
      </c>
      <c r="J26" s="40">
        <f>COUNTIF(H$10:H$85,"&gt;=0.16")</f>
        <v>0</v>
      </c>
      <c r="P26">
        <v>0.03</v>
      </c>
    </row>
    <row r="27" spans="2:16" x14ac:dyDescent="0.35">
      <c r="B27">
        <v>0.06</v>
      </c>
      <c r="C27">
        <v>0.03</v>
      </c>
      <c r="H27">
        <v>0.03</v>
      </c>
      <c r="J27" s="40"/>
      <c r="P27">
        <v>0.03</v>
      </c>
    </row>
    <row r="28" spans="2:16" ht="15" x14ac:dyDescent="0.4">
      <c r="B28">
        <v>0.08</v>
      </c>
      <c r="C28">
        <v>0.05</v>
      </c>
      <c r="E28" s="6">
        <f>AVERAGE(E10:E26)</f>
        <v>9.4117647058823539E-3</v>
      </c>
      <c r="H28">
        <v>0.05</v>
      </c>
      <c r="P28">
        <v>0.03</v>
      </c>
    </row>
    <row r="29" spans="2:16" x14ac:dyDescent="0.35">
      <c r="B29">
        <v>0.08</v>
      </c>
      <c r="C29">
        <v>0.05</v>
      </c>
      <c r="H29">
        <v>0.05</v>
      </c>
      <c r="P29">
        <v>0.03</v>
      </c>
    </row>
    <row r="30" spans="2:16" x14ac:dyDescent="0.35">
      <c r="B30">
        <v>7.0000000000000007E-2</v>
      </c>
      <c r="C30">
        <v>0.05</v>
      </c>
      <c r="H30">
        <v>0.05</v>
      </c>
      <c r="P30">
        <v>0.03</v>
      </c>
    </row>
    <row r="31" spans="2:16" x14ac:dyDescent="0.35">
      <c r="B31">
        <v>0.05</v>
      </c>
      <c r="C31">
        <v>0.03</v>
      </c>
      <c r="H31">
        <v>0.03</v>
      </c>
      <c r="P31">
        <v>0.03</v>
      </c>
    </row>
    <row r="32" spans="2:16" x14ac:dyDescent="0.35">
      <c r="B32">
        <v>0.03</v>
      </c>
      <c r="C32">
        <v>0.04</v>
      </c>
      <c r="H32">
        <v>0.04</v>
      </c>
      <c r="P32">
        <v>0.03</v>
      </c>
    </row>
    <row r="33" spans="2:16" x14ac:dyDescent="0.35">
      <c r="B33">
        <v>0.02</v>
      </c>
      <c r="C33">
        <v>0.03</v>
      </c>
      <c r="H33">
        <v>0.03</v>
      </c>
      <c r="P33">
        <v>0.04</v>
      </c>
    </row>
    <row r="34" spans="2:16" x14ac:dyDescent="0.35">
      <c r="B34">
        <v>0.03</v>
      </c>
      <c r="C34">
        <v>0.05</v>
      </c>
      <c r="H34">
        <v>0.05</v>
      </c>
      <c r="P34">
        <v>0.04</v>
      </c>
    </row>
    <row r="35" spans="2:16" x14ac:dyDescent="0.35">
      <c r="B35">
        <v>0.04</v>
      </c>
      <c r="C35">
        <v>0.09</v>
      </c>
      <c r="H35">
        <v>0.09</v>
      </c>
      <c r="P35">
        <v>0.04</v>
      </c>
    </row>
    <row r="36" spans="2:16" x14ac:dyDescent="0.35">
      <c r="C36">
        <v>0.03</v>
      </c>
      <c r="H36">
        <v>0.03</v>
      </c>
      <c r="P36">
        <v>0.04</v>
      </c>
    </row>
    <row r="37" spans="2:16" ht="15" x14ac:dyDescent="0.4">
      <c r="B37" s="6">
        <f>SUM(B10:B35)/26</f>
        <v>6.0769230769230798E-2</v>
      </c>
      <c r="C37">
        <v>0.04</v>
      </c>
      <c r="H37">
        <v>0.04</v>
      </c>
      <c r="P37">
        <v>0.04</v>
      </c>
    </row>
    <row r="38" spans="2:16" x14ac:dyDescent="0.35">
      <c r="C38">
        <v>0.04</v>
      </c>
      <c r="H38">
        <v>0.04</v>
      </c>
      <c r="P38">
        <v>0.04</v>
      </c>
    </row>
    <row r="39" spans="2:16" x14ac:dyDescent="0.35">
      <c r="C39">
        <v>0.05</v>
      </c>
      <c r="H39">
        <v>0.05</v>
      </c>
      <c r="P39">
        <v>0.04</v>
      </c>
    </row>
    <row r="40" spans="2:16" x14ac:dyDescent="0.35">
      <c r="C40">
        <v>0.04</v>
      </c>
      <c r="H40">
        <v>0.04</v>
      </c>
      <c r="P40">
        <v>0.04</v>
      </c>
    </row>
    <row r="41" spans="2:16" x14ac:dyDescent="0.35">
      <c r="C41">
        <v>0.06</v>
      </c>
      <c r="H41">
        <v>0.06</v>
      </c>
      <c r="P41">
        <v>0.04</v>
      </c>
    </row>
    <row r="42" spans="2:16" x14ac:dyDescent="0.35">
      <c r="C42">
        <v>0.08</v>
      </c>
      <c r="H42">
        <v>0.08</v>
      </c>
      <c r="P42">
        <v>0.05</v>
      </c>
    </row>
    <row r="43" spans="2:16" x14ac:dyDescent="0.35">
      <c r="C43">
        <v>0.09</v>
      </c>
      <c r="H43">
        <v>0.09</v>
      </c>
      <c r="P43">
        <v>0.05</v>
      </c>
    </row>
    <row r="44" spans="2:16" x14ac:dyDescent="0.35">
      <c r="C44">
        <v>0.08</v>
      </c>
      <c r="H44">
        <v>0.08</v>
      </c>
      <c r="P44">
        <v>0.05</v>
      </c>
    </row>
    <row r="45" spans="2:16" x14ac:dyDescent="0.35">
      <c r="C45">
        <v>0.09</v>
      </c>
      <c r="H45">
        <v>0.09</v>
      </c>
      <c r="P45">
        <v>0.05</v>
      </c>
    </row>
    <row r="46" spans="2:16" x14ac:dyDescent="0.35">
      <c r="H46">
        <v>0.04</v>
      </c>
      <c r="P46">
        <v>0.05</v>
      </c>
    </row>
    <row r="47" spans="2:16" ht="15" x14ac:dyDescent="0.4">
      <c r="C47" s="6">
        <f>SUM(C10:C45)/36</f>
        <v>6.5277777777777796E-2</v>
      </c>
      <c r="H47">
        <v>0.02</v>
      </c>
      <c r="P47">
        <v>0.05</v>
      </c>
    </row>
    <row r="48" spans="2:16" x14ac:dyDescent="0.35">
      <c r="H48">
        <v>0.03</v>
      </c>
      <c r="P48">
        <v>0.05</v>
      </c>
    </row>
    <row r="49" spans="2:16" x14ac:dyDescent="0.35">
      <c r="H49">
        <v>0.01</v>
      </c>
      <c r="P49">
        <v>0.05</v>
      </c>
    </row>
    <row r="50" spans="2:16" x14ac:dyDescent="0.35">
      <c r="H50">
        <v>0.04</v>
      </c>
      <c r="P50">
        <v>0.05</v>
      </c>
    </row>
    <row r="51" spans="2:16" x14ac:dyDescent="0.35">
      <c r="H51">
        <v>0.02</v>
      </c>
      <c r="P51">
        <v>0.06</v>
      </c>
    </row>
    <row r="52" spans="2:16" x14ac:dyDescent="0.35">
      <c r="H52">
        <v>0.02</v>
      </c>
      <c r="P52">
        <v>0.06</v>
      </c>
    </row>
    <row r="53" spans="2:16" x14ac:dyDescent="0.35">
      <c r="H53">
        <v>0.03</v>
      </c>
      <c r="P53">
        <v>0.06</v>
      </c>
    </row>
    <row r="54" spans="2:16" x14ac:dyDescent="0.35">
      <c r="H54">
        <v>0.05</v>
      </c>
      <c r="P54">
        <v>0.06</v>
      </c>
    </row>
    <row r="55" spans="2:16" x14ac:dyDescent="0.35">
      <c r="H55">
        <v>0.03</v>
      </c>
      <c r="P55">
        <v>0.06</v>
      </c>
    </row>
    <row r="56" spans="2:16" x14ac:dyDescent="0.35">
      <c r="H56">
        <v>0.03</v>
      </c>
      <c r="P56">
        <v>7.0000000000000007E-2</v>
      </c>
    </row>
    <row r="57" spans="2:16" x14ac:dyDescent="0.35">
      <c r="H57">
        <v>0.03</v>
      </c>
      <c r="P57">
        <v>7.0000000000000007E-2</v>
      </c>
    </row>
    <row r="58" spans="2:16" x14ac:dyDescent="0.35">
      <c r="H58">
        <v>0.06</v>
      </c>
      <c r="P58">
        <v>7.0000000000000007E-2</v>
      </c>
    </row>
    <row r="59" spans="2:16" x14ac:dyDescent="0.35">
      <c r="H59">
        <v>0.02</v>
      </c>
      <c r="P59">
        <v>7.0000000000000007E-2</v>
      </c>
    </row>
    <row r="60" spans="2:16" x14ac:dyDescent="0.35">
      <c r="H60">
        <v>0.15</v>
      </c>
      <c r="P60">
        <v>7.0000000000000007E-2</v>
      </c>
    </row>
    <row r="61" spans="2:16" x14ac:dyDescent="0.35">
      <c r="H61">
        <v>0.12</v>
      </c>
      <c r="P61">
        <v>7.0000000000000007E-2</v>
      </c>
    </row>
    <row r="62" spans="2:16" x14ac:dyDescent="0.35">
      <c r="H62">
        <v>0.02</v>
      </c>
      <c r="P62">
        <v>7.0000000000000007E-2</v>
      </c>
    </row>
    <row r="63" spans="2:16" x14ac:dyDescent="0.35">
      <c r="H63">
        <v>0.03</v>
      </c>
      <c r="P63">
        <v>0.08</v>
      </c>
    </row>
    <row r="64" spans="2:16" x14ac:dyDescent="0.35">
      <c r="B64" t="s">
        <v>50</v>
      </c>
      <c r="C64">
        <f>SUM(C10:C19)/10</f>
        <v>8.0999999999999989E-2</v>
      </c>
      <c r="H64">
        <v>0.06</v>
      </c>
      <c r="P64">
        <v>0.08</v>
      </c>
    </row>
    <row r="65" spans="2:16" x14ac:dyDescent="0.35">
      <c r="B65" t="s">
        <v>49</v>
      </c>
      <c r="C65" s="11">
        <f>SUM(C20:C45)/26</f>
        <v>5.923076923076926E-2</v>
      </c>
      <c r="H65">
        <v>0.14000000000000001</v>
      </c>
      <c r="P65">
        <v>0.08</v>
      </c>
    </row>
    <row r="66" spans="2:16" x14ac:dyDescent="0.35">
      <c r="C66" s="11"/>
      <c r="H66">
        <v>0.03</v>
      </c>
      <c r="P66">
        <v>0.08</v>
      </c>
    </row>
    <row r="67" spans="2:16" x14ac:dyDescent="0.35">
      <c r="H67">
        <v>7.0000000000000007E-2</v>
      </c>
      <c r="P67">
        <v>0.08</v>
      </c>
    </row>
    <row r="68" spans="2:16" x14ac:dyDescent="0.35">
      <c r="H68">
        <v>0.08</v>
      </c>
      <c r="P68">
        <v>0.08</v>
      </c>
    </row>
    <row r="69" spans="2:16" x14ac:dyDescent="0.35">
      <c r="H69">
        <v>0.1</v>
      </c>
      <c r="P69">
        <v>0.08</v>
      </c>
    </row>
    <row r="70" spans="2:16" x14ac:dyDescent="0.35">
      <c r="H70">
        <v>0.04</v>
      </c>
      <c r="P70">
        <v>0.08</v>
      </c>
    </row>
    <row r="71" spans="2:16" x14ac:dyDescent="0.35">
      <c r="H71">
        <v>0.03</v>
      </c>
      <c r="P71">
        <v>0.08</v>
      </c>
    </row>
    <row r="72" spans="2:16" x14ac:dyDescent="0.35">
      <c r="H72">
        <v>0.04</v>
      </c>
      <c r="P72">
        <v>0.08</v>
      </c>
    </row>
    <row r="73" spans="2:16" x14ac:dyDescent="0.35">
      <c r="H73">
        <v>0.03</v>
      </c>
      <c r="P73">
        <v>0.09</v>
      </c>
    </row>
    <row r="74" spans="2:16" x14ac:dyDescent="0.35">
      <c r="H74">
        <v>0.03</v>
      </c>
      <c r="P74">
        <v>0.09</v>
      </c>
    </row>
    <row r="75" spans="2:16" x14ac:dyDescent="0.35">
      <c r="H75">
        <v>0.1</v>
      </c>
      <c r="P75">
        <v>0.09</v>
      </c>
    </row>
    <row r="76" spans="2:16" x14ac:dyDescent="0.35">
      <c r="H76">
        <v>0.05</v>
      </c>
      <c r="P76">
        <v>0.09</v>
      </c>
    </row>
    <row r="77" spans="2:16" x14ac:dyDescent="0.35">
      <c r="H77">
        <v>0.06</v>
      </c>
      <c r="P77">
        <v>0.09</v>
      </c>
    </row>
    <row r="78" spans="2:16" x14ac:dyDescent="0.35">
      <c r="H78">
        <v>0.08</v>
      </c>
      <c r="P78">
        <v>0.09</v>
      </c>
    </row>
    <row r="79" spans="2:16" x14ac:dyDescent="0.35">
      <c r="H79">
        <v>0.08</v>
      </c>
      <c r="P79">
        <v>0.1</v>
      </c>
    </row>
    <row r="80" spans="2:16" x14ac:dyDescent="0.35">
      <c r="H80">
        <v>7.0000000000000007E-2</v>
      </c>
      <c r="P80">
        <v>0.1</v>
      </c>
    </row>
    <row r="81" spans="8:16" x14ac:dyDescent="0.35">
      <c r="H81">
        <v>0.05</v>
      </c>
      <c r="P81">
        <v>0.1</v>
      </c>
    </row>
    <row r="82" spans="8:16" x14ac:dyDescent="0.35">
      <c r="H82">
        <v>0.03</v>
      </c>
      <c r="P82">
        <v>0.1</v>
      </c>
    </row>
    <row r="83" spans="8:16" x14ac:dyDescent="0.35">
      <c r="H83">
        <v>0.02</v>
      </c>
      <c r="P83">
        <v>0.12</v>
      </c>
    </row>
    <row r="84" spans="8:16" x14ac:dyDescent="0.35">
      <c r="H84">
        <v>0.03</v>
      </c>
      <c r="P84">
        <v>0.14000000000000001</v>
      </c>
    </row>
    <row r="85" spans="8:16" x14ac:dyDescent="0.35">
      <c r="H85">
        <v>0.04</v>
      </c>
      <c r="P85">
        <v>0.15</v>
      </c>
    </row>
  </sheetData>
  <sortState ref="P10:P85">
    <sortCondition ref="P10"/>
  </sortState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workbookViewId="0">
      <selection activeCell="C18" sqref="C18"/>
    </sheetView>
  </sheetViews>
  <sheetFormatPr defaultRowHeight="12.75" x14ac:dyDescent="0.35"/>
  <cols>
    <col min="1" max="1" width="14.796875" customWidth="1"/>
    <col min="2" max="2" width="10.796875" customWidth="1"/>
    <col min="3" max="3" width="11.19921875" customWidth="1"/>
  </cols>
  <sheetData>
    <row r="1" spans="1:19" x14ac:dyDescent="0.35">
      <c r="A1" t="s">
        <v>0</v>
      </c>
    </row>
    <row r="2" spans="1:19" x14ac:dyDescent="0.35">
      <c r="A2" t="s">
        <v>91</v>
      </c>
    </row>
    <row r="3" spans="1:19" x14ac:dyDescent="0.35">
      <c r="A3" t="s">
        <v>4</v>
      </c>
      <c r="B3" s="3" t="s">
        <v>52</v>
      </c>
      <c r="C3" s="3" t="s">
        <v>53</v>
      </c>
      <c r="D3" s="3" t="s">
        <v>51</v>
      </c>
      <c r="E3" s="3" t="s">
        <v>55</v>
      </c>
      <c r="F3" s="3" t="s">
        <v>56</v>
      </c>
      <c r="G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5">
      <c r="A4" t="s">
        <v>2</v>
      </c>
      <c r="B4">
        <v>473920</v>
      </c>
      <c r="C4">
        <v>473907</v>
      </c>
      <c r="D4">
        <v>475226</v>
      </c>
      <c r="E4">
        <v>472436</v>
      </c>
      <c r="F4">
        <v>470116</v>
      </c>
    </row>
    <row r="5" spans="1:19" x14ac:dyDescent="0.35">
      <c r="A5" t="s">
        <v>1</v>
      </c>
      <c r="B5">
        <v>5439509</v>
      </c>
      <c r="C5">
        <v>5440312</v>
      </c>
      <c r="D5">
        <v>5441710</v>
      </c>
      <c r="E5">
        <v>5449809</v>
      </c>
      <c r="F5">
        <v>5448666</v>
      </c>
    </row>
    <row r="6" spans="1:19" x14ac:dyDescent="0.35">
      <c r="B6" t="s">
        <v>41</v>
      </c>
      <c r="C6" t="s">
        <v>41</v>
      </c>
      <c r="D6" t="s">
        <v>54</v>
      </c>
    </row>
    <row r="7" spans="1:19" x14ac:dyDescent="0.35">
      <c r="B7">
        <v>0.06</v>
      </c>
      <c r="C7">
        <v>0.06</v>
      </c>
      <c r="D7">
        <v>0.03</v>
      </c>
      <c r="E7">
        <v>7.0000000000000007E-2</v>
      </c>
      <c r="F7">
        <v>0.12</v>
      </c>
      <c r="I7">
        <v>7.0000000000000007E-2</v>
      </c>
      <c r="J7" s="154" t="s">
        <v>468</v>
      </c>
      <c r="K7" s="40">
        <f>COUNTIF(I$7:I$77,"&gt;=0")-COUNTIF(I$7:I$77,"&gt;0.0199")</f>
        <v>0</v>
      </c>
    </row>
    <row r="8" spans="1:19" x14ac:dyDescent="0.35">
      <c r="B8">
        <v>0.01</v>
      </c>
      <c r="C8">
        <v>0.06</v>
      </c>
      <c r="D8">
        <v>0.06</v>
      </c>
      <c r="E8">
        <v>0.09</v>
      </c>
      <c r="F8">
        <v>0.1</v>
      </c>
      <c r="I8">
        <v>0.09</v>
      </c>
      <c r="J8" s="154" t="s">
        <v>469</v>
      </c>
      <c r="K8" s="40">
        <f>COUNTIF(I$7:I$77,"&gt;=0.01")-COUNTIF(I$7:I$77,"&gt;0.01999")</f>
        <v>0</v>
      </c>
    </row>
    <row r="9" spans="1:19" x14ac:dyDescent="0.35">
      <c r="B9">
        <v>0.03</v>
      </c>
      <c r="C9">
        <v>0.04</v>
      </c>
      <c r="D9">
        <v>0.04</v>
      </c>
      <c r="E9">
        <v>0.12</v>
      </c>
      <c r="F9">
        <v>0.11</v>
      </c>
      <c r="I9">
        <v>0.12</v>
      </c>
      <c r="J9" s="154" t="s">
        <v>470</v>
      </c>
      <c r="K9" s="40">
        <f>COUNTIF(I$7:I$77,"&gt;=0.02")-COUNTIF(I$7:I$77,"&gt;0.02999")</f>
        <v>0</v>
      </c>
    </row>
    <row r="10" spans="1:19" x14ac:dyDescent="0.35">
      <c r="B10">
        <v>0.11</v>
      </c>
      <c r="C10">
        <v>0.1</v>
      </c>
      <c r="D10">
        <v>0.06</v>
      </c>
      <c r="E10">
        <v>0.08</v>
      </c>
      <c r="F10">
        <v>0.09</v>
      </c>
      <c r="I10">
        <v>0.08</v>
      </c>
      <c r="J10" s="154" t="s">
        <v>471</v>
      </c>
      <c r="K10" s="40">
        <f>COUNTIF(I$7:I$77,"&gt;=0.03")-COUNTIF(I$7:I$77,"&gt;0.03999")</f>
        <v>1</v>
      </c>
    </row>
    <row r="11" spans="1:19" x14ac:dyDescent="0.35">
      <c r="B11">
        <v>0.06</v>
      </c>
      <c r="C11">
        <v>7.0000000000000007E-2</v>
      </c>
      <c r="D11">
        <v>0.06</v>
      </c>
      <c r="E11">
        <v>0.13</v>
      </c>
      <c r="F11">
        <v>0.13</v>
      </c>
      <c r="I11">
        <v>0.13</v>
      </c>
      <c r="J11" s="154" t="s">
        <v>472</v>
      </c>
      <c r="K11" s="40">
        <f>COUNTIF(I$7:I$77,"&gt;=0.04")-COUNTIF(I$7:I$77,"&gt;0.04999")</f>
        <v>2</v>
      </c>
    </row>
    <row r="12" spans="1:19" x14ac:dyDescent="0.35">
      <c r="B12">
        <v>0.03</v>
      </c>
      <c r="C12">
        <v>0.08</v>
      </c>
      <c r="D12">
        <v>0.05</v>
      </c>
      <c r="E12">
        <v>0.14000000000000001</v>
      </c>
      <c r="F12">
        <v>0.09</v>
      </c>
      <c r="I12">
        <v>0.14000000000000001</v>
      </c>
      <c r="J12" s="154" t="s">
        <v>473</v>
      </c>
      <c r="K12" s="40">
        <f>COUNTIF(I$7:I$77,"&gt;=0.05")-COUNTIF(I$7:I$77,"&gt;0.05999")</f>
        <v>3</v>
      </c>
    </row>
    <row r="13" spans="1:19" x14ac:dyDescent="0.35">
      <c r="B13">
        <v>0.04</v>
      </c>
      <c r="C13">
        <v>0.06</v>
      </c>
      <c r="D13">
        <v>0.06</v>
      </c>
      <c r="E13">
        <v>0.16</v>
      </c>
      <c r="F13">
        <v>0.16</v>
      </c>
      <c r="I13">
        <v>0.16</v>
      </c>
      <c r="J13" s="154" t="s">
        <v>474</v>
      </c>
      <c r="K13" s="40">
        <f>COUNTIF(I$7:I$77,"&gt;=0.06")-COUNTIF(I$7:I$77,"&gt;0.06999")</f>
        <v>5</v>
      </c>
    </row>
    <row r="14" spans="1:19" x14ac:dyDescent="0.35">
      <c r="B14">
        <v>0.12</v>
      </c>
      <c r="C14">
        <v>0.06</v>
      </c>
      <c r="D14">
        <v>0.05</v>
      </c>
      <c r="E14">
        <v>0.16</v>
      </c>
      <c r="F14">
        <v>0.17</v>
      </c>
      <c r="I14">
        <v>0.16</v>
      </c>
      <c r="J14" s="154" t="s">
        <v>475</v>
      </c>
      <c r="K14" s="40">
        <f>COUNTIF(I$7:I$77,"&gt;=0.07")-COUNTIF(I$7:I$77,"&gt;0.07999")</f>
        <v>4</v>
      </c>
    </row>
    <row r="15" spans="1:19" x14ac:dyDescent="0.35">
      <c r="B15">
        <v>0.05</v>
      </c>
      <c r="C15">
        <v>0.06</v>
      </c>
      <c r="D15">
        <v>0.06</v>
      </c>
      <c r="E15">
        <v>0.05</v>
      </c>
      <c r="F15">
        <v>0.11</v>
      </c>
      <c r="I15">
        <v>0.05</v>
      </c>
      <c r="J15" s="154" t="s">
        <v>477</v>
      </c>
      <c r="K15" s="40">
        <f>COUNTIF(I$7:I$77,"&gt;=0.08")-COUNTIF(I$7:I$77,"&gt;0.08999")</f>
        <v>3</v>
      </c>
    </row>
    <row r="16" spans="1:19" x14ac:dyDescent="0.35">
      <c r="B16">
        <v>0.09</v>
      </c>
      <c r="C16">
        <v>0.09</v>
      </c>
      <c r="D16">
        <v>0.05</v>
      </c>
      <c r="E16">
        <v>0.15</v>
      </c>
      <c r="F16">
        <v>0.04</v>
      </c>
      <c r="I16">
        <v>0.15</v>
      </c>
      <c r="J16" s="154" t="s">
        <v>476</v>
      </c>
      <c r="K16" s="40">
        <f>COUNTIF(I$7:I$77,"&gt;=0.09")-COUNTIF(I$7:I$77,"&gt;0.09999")</f>
        <v>10</v>
      </c>
    </row>
    <row r="17" spans="2:11" x14ac:dyDescent="0.35">
      <c r="C17">
        <v>0.03</v>
      </c>
      <c r="D17">
        <v>0.05</v>
      </c>
      <c r="E17">
        <v>7.0000000000000007E-2</v>
      </c>
      <c r="F17">
        <v>0.08</v>
      </c>
      <c r="I17">
        <v>7.0000000000000007E-2</v>
      </c>
      <c r="J17" s="154" t="s">
        <v>478</v>
      </c>
      <c r="K17" s="40">
        <f>COUNTIF(I$7:I$77,"&gt;=0.1")-COUNTIF(I$7:I$77,"&gt;0.1999")</f>
        <v>43</v>
      </c>
    </row>
    <row r="18" spans="2:11" x14ac:dyDescent="0.35">
      <c r="C18">
        <v>0.04</v>
      </c>
      <c r="D18">
        <v>7.0000000000000007E-2</v>
      </c>
      <c r="E18">
        <v>0.09</v>
      </c>
      <c r="F18">
        <v>0.06</v>
      </c>
      <c r="I18">
        <v>0.09</v>
      </c>
      <c r="J18" s="154" t="s">
        <v>479</v>
      </c>
      <c r="K18" s="40">
        <f>COUNTIF(I$7:I$77,"&gt;=0.11")-COUNTIF(I$7:I$77,"&gt;0.11999")</f>
        <v>8</v>
      </c>
    </row>
    <row r="19" spans="2:11" x14ac:dyDescent="0.35">
      <c r="D19">
        <v>0.03</v>
      </c>
      <c r="E19">
        <v>0.06</v>
      </c>
      <c r="F19">
        <v>0.1</v>
      </c>
      <c r="I19">
        <v>0.06</v>
      </c>
      <c r="J19" s="154" t="s">
        <v>480</v>
      </c>
      <c r="K19" s="40">
        <f>COUNTIF(I$7:I$77,"&gt;=0.12")-COUNTIF(I$7:I$77,"&gt;0.12999")</f>
        <v>7</v>
      </c>
    </row>
    <row r="20" spans="2:11" x14ac:dyDescent="0.35">
      <c r="D20">
        <v>0.05</v>
      </c>
      <c r="E20">
        <v>0.03</v>
      </c>
      <c r="F20">
        <v>0.09</v>
      </c>
      <c r="I20">
        <v>0.03</v>
      </c>
      <c r="J20" s="154" t="s">
        <v>481</v>
      </c>
      <c r="K20" s="40">
        <f>COUNTIF(I$7:I$77,"&gt;=0.13")-COUNTIF(I$7:I$77,"&gt;0.13999")</f>
        <v>4</v>
      </c>
    </row>
    <row r="21" spans="2:11" ht="15" x14ac:dyDescent="0.4">
      <c r="B21" s="6">
        <f>SUM(B7:B16)/10</f>
        <v>0.06</v>
      </c>
      <c r="C21" s="6">
        <f>SUM(C7:C18)/12</f>
        <v>6.2500000000000014E-2</v>
      </c>
      <c r="D21">
        <v>0.06</v>
      </c>
      <c r="E21">
        <v>0.11</v>
      </c>
      <c r="F21">
        <v>0.1</v>
      </c>
      <c r="I21">
        <v>0.11</v>
      </c>
      <c r="J21" s="154" t="s">
        <v>482</v>
      </c>
      <c r="K21" s="40">
        <f>COUNTIF(I$7:I$77,"&gt;=0.14")-COUNTIF(I$7:I$77,"&gt;0.14999")</f>
        <v>3</v>
      </c>
    </row>
    <row r="22" spans="2:11" x14ac:dyDescent="0.35">
      <c r="D22">
        <v>0.02</v>
      </c>
      <c r="E22">
        <v>0.09</v>
      </c>
      <c r="F22">
        <v>0.11</v>
      </c>
      <c r="I22">
        <v>0.09</v>
      </c>
      <c r="J22" s="154" t="s">
        <v>483</v>
      </c>
      <c r="K22" s="40">
        <f>COUNTIF(I$7:I$77,"&gt;=0.15")-COUNTIF(I$7:I$77,"&gt;0.15999")</f>
        <v>5</v>
      </c>
    </row>
    <row r="23" spans="2:11" x14ac:dyDescent="0.35">
      <c r="D23">
        <v>7.0000000000000007E-2</v>
      </c>
      <c r="E23">
        <v>0.12</v>
      </c>
      <c r="F23">
        <v>0.1</v>
      </c>
      <c r="I23">
        <v>0.12</v>
      </c>
      <c r="J23" s="154" t="s">
        <v>484</v>
      </c>
      <c r="K23" s="40">
        <f>COUNTIF(I$7:I$77,"&gt;=0.16")-COUNTIF(I$7:I$77,"&gt;0.16999")</f>
        <v>5</v>
      </c>
    </row>
    <row r="24" spans="2:11" x14ac:dyDescent="0.35">
      <c r="E24">
        <v>0.1</v>
      </c>
      <c r="F24">
        <v>0.06</v>
      </c>
      <c r="I24">
        <v>0.1</v>
      </c>
      <c r="J24" s="154" t="s">
        <v>485</v>
      </c>
      <c r="K24" s="40">
        <f>COUNTIF(I$7:I$77,"&gt;=0.17")</f>
        <v>1</v>
      </c>
    </row>
    <row r="25" spans="2:11" ht="15" x14ac:dyDescent="0.4">
      <c r="D25" s="6">
        <f>SUM(D7:D23)/17</f>
        <v>5.1176470588235316E-2</v>
      </c>
      <c r="E25">
        <v>0.11</v>
      </c>
      <c r="F25">
        <v>0.1</v>
      </c>
      <c r="I25">
        <v>0.11</v>
      </c>
      <c r="J25" s="154"/>
    </row>
    <row r="26" spans="2:11" x14ac:dyDescent="0.35">
      <c r="E26">
        <v>0.16</v>
      </c>
      <c r="F26">
        <v>0.05</v>
      </c>
      <c r="I26">
        <v>0.16</v>
      </c>
      <c r="J26" s="154"/>
    </row>
    <row r="27" spans="2:11" x14ac:dyDescent="0.35">
      <c r="E27">
        <v>0.09</v>
      </c>
      <c r="F27">
        <v>0.1</v>
      </c>
      <c r="I27">
        <v>0.09</v>
      </c>
      <c r="J27" s="154"/>
    </row>
    <row r="28" spans="2:11" x14ac:dyDescent="0.35">
      <c r="E28">
        <v>0.11</v>
      </c>
      <c r="F28">
        <v>0.1</v>
      </c>
      <c r="I28">
        <v>0.11</v>
      </c>
      <c r="J28" s="154"/>
    </row>
    <row r="29" spans="2:11" x14ac:dyDescent="0.35">
      <c r="E29">
        <v>0.16</v>
      </c>
      <c r="F29">
        <v>0.09</v>
      </c>
      <c r="I29">
        <v>0.16</v>
      </c>
      <c r="J29" s="154"/>
    </row>
    <row r="30" spans="2:11" x14ac:dyDescent="0.35">
      <c r="E30">
        <v>0.15</v>
      </c>
      <c r="F30">
        <v>0.06</v>
      </c>
      <c r="I30">
        <v>0.15</v>
      </c>
      <c r="J30" s="154"/>
    </row>
    <row r="31" spans="2:11" x14ac:dyDescent="0.35">
      <c r="E31">
        <v>0.13</v>
      </c>
      <c r="F31">
        <v>0.11</v>
      </c>
      <c r="I31">
        <v>0.13</v>
      </c>
      <c r="J31" s="154"/>
    </row>
    <row r="32" spans="2:11" x14ac:dyDescent="0.35">
      <c r="E32">
        <v>0.15</v>
      </c>
      <c r="F32">
        <v>0.1</v>
      </c>
      <c r="I32">
        <v>0.15</v>
      </c>
      <c r="J32" s="154"/>
    </row>
    <row r="33" spans="5:9" x14ac:dyDescent="0.35">
      <c r="E33">
        <v>0.15</v>
      </c>
      <c r="F33">
        <v>0.09</v>
      </c>
      <c r="I33">
        <v>0.15</v>
      </c>
    </row>
    <row r="34" spans="5:9" x14ac:dyDescent="0.35">
      <c r="E34">
        <v>0.14000000000000001</v>
      </c>
      <c r="F34">
        <v>0.11</v>
      </c>
      <c r="I34">
        <v>0.14000000000000001</v>
      </c>
    </row>
    <row r="35" spans="5:9" x14ac:dyDescent="0.35">
      <c r="E35">
        <v>0.09</v>
      </c>
      <c r="F35">
        <v>0.05</v>
      </c>
      <c r="I35">
        <v>0.09</v>
      </c>
    </row>
    <row r="36" spans="5:9" x14ac:dyDescent="0.35">
      <c r="E36">
        <v>0.15</v>
      </c>
      <c r="F36">
        <v>7.0000000000000007E-2</v>
      </c>
      <c r="I36">
        <v>0.15</v>
      </c>
    </row>
    <row r="37" spans="5:9" x14ac:dyDescent="0.35">
      <c r="E37">
        <v>0.12</v>
      </c>
      <c r="F37">
        <v>0.12</v>
      </c>
      <c r="I37">
        <v>0.12</v>
      </c>
    </row>
    <row r="38" spans="5:9" x14ac:dyDescent="0.35">
      <c r="E38">
        <v>0.06</v>
      </c>
      <c r="F38">
        <v>0.12</v>
      </c>
      <c r="I38">
        <v>0.06</v>
      </c>
    </row>
    <row r="39" spans="5:9" x14ac:dyDescent="0.35">
      <c r="F39">
        <v>0.1</v>
      </c>
      <c r="I39">
        <v>0.12</v>
      </c>
    </row>
    <row r="40" spans="5:9" ht="15" x14ac:dyDescent="0.4">
      <c r="E40" s="6">
        <f>SUM(E7:E38)/32</f>
        <v>0.11218750000000001</v>
      </c>
      <c r="F40">
        <v>0.12</v>
      </c>
      <c r="I40">
        <v>0.1</v>
      </c>
    </row>
    <row r="41" spans="5:9" x14ac:dyDescent="0.35">
      <c r="F41">
        <v>0.08</v>
      </c>
      <c r="I41">
        <v>0.11</v>
      </c>
    </row>
    <row r="42" spans="5:9" x14ac:dyDescent="0.35">
      <c r="F42">
        <v>0.14000000000000001</v>
      </c>
      <c r="I42">
        <v>0.09</v>
      </c>
    </row>
    <row r="43" spans="5:9" x14ac:dyDescent="0.35">
      <c r="F43">
        <v>0.04</v>
      </c>
      <c r="I43">
        <v>0.13</v>
      </c>
    </row>
    <row r="44" spans="5:9" x14ac:dyDescent="0.35">
      <c r="F44">
        <v>7.0000000000000007E-2</v>
      </c>
      <c r="I44">
        <v>0.09</v>
      </c>
    </row>
    <row r="45" spans="5:9" x14ac:dyDescent="0.35">
      <c r="F45">
        <v>0.13</v>
      </c>
      <c r="I45">
        <v>0.16</v>
      </c>
    </row>
    <row r="46" spans="5:9" x14ac:dyDescent="0.35">
      <c r="I46">
        <v>0.17</v>
      </c>
    </row>
    <row r="47" spans="5:9" ht="15" x14ac:dyDescent="0.4">
      <c r="F47" s="6">
        <f>SUM(F7:F45)/39</f>
        <v>9.6666666666666679E-2</v>
      </c>
      <c r="I47">
        <v>0.11</v>
      </c>
    </row>
    <row r="48" spans="5:9" x14ac:dyDescent="0.35">
      <c r="I48">
        <v>0.04</v>
      </c>
    </row>
    <row r="49" spans="9:9" x14ac:dyDescent="0.35">
      <c r="I49">
        <v>0.08</v>
      </c>
    </row>
    <row r="50" spans="9:9" x14ac:dyDescent="0.35">
      <c r="I50">
        <v>0.06</v>
      </c>
    </row>
    <row r="51" spans="9:9" x14ac:dyDescent="0.35">
      <c r="I51">
        <v>0.1</v>
      </c>
    </row>
    <row r="52" spans="9:9" x14ac:dyDescent="0.35">
      <c r="I52">
        <v>0.09</v>
      </c>
    </row>
    <row r="53" spans="9:9" x14ac:dyDescent="0.35">
      <c r="I53">
        <v>0.1</v>
      </c>
    </row>
    <row r="54" spans="9:9" x14ac:dyDescent="0.35">
      <c r="I54">
        <v>0.11</v>
      </c>
    </row>
    <row r="55" spans="9:9" x14ac:dyDescent="0.35">
      <c r="I55">
        <v>0.1</v>
      </c>
    </row>
    <row r="56" spans="9:9" x14ac:dyDescent="0.35">
      <c r="I56">
        <v>0.06</v>
      </c>
    </row>
    <row r="57" spans="9:9" x14ac:dyDescent="0.35">
      <c r="I57">
        <v>0.1</v>
      </c>
    </row>
    <row r="58" spans="9:9" x14ac:dyDescent="0.35">
      <c r="I58">
        <v>0.05</v>
      </c>
    </row>
    <row r="59" spans="9:9" x14ac:dyDescent="0.35">
      <c r="I59">
        <v>0.1</v>
      </c>
    </row>
    <row r="60" spans="9:9" x14ac:dyDescent="0.35">
      <c r="I60">
        <v>0.1</v>
      </c>
    </row>
    <row r="61" spans="9:9" x14ac:dyDescent="0.35">
      <c r="I61">
        <v>0.09</v>
      </c>
    </row>
    <row r="62" spans="9:9" x14ac:dyDescent="0.35">
      <c r="I62">
        <v>0.06</v>
      </c>
    </row>
    <row r="63" spans="9:9" x14ac:dyDescent="0.35">
      <c r="I63">
        <v>0.11</v>
      </c>
    </row>
    <row r="64" spans="9:9" x14ac:dyDescent="0.35">
      <c r="I64">
        <v>0.1</v>
      </c>
    </row>
    <row r="65" spans="9:9" x14ac:dyDescent="0.35">
      <c r="I65">
        <v>0.09</v>
      </c>
    </row>
    <row r="66" spans="9:9" x14ac:dyDescent="0.35">
      <c r="I66">
        <v>0.11</v>
      </c>
    </row>
    <row r="67" spans="9:9" x14ac:dyDescent="0.35">
      <c r="I67">
        <v>0.05</v>
      </c>
    </row>
    <row r="68" spans="9:9" x14ac:dyDescent="0.35">
      <c r="I68">
        <v>7.0000000000000007E-2</v>
      </c>
    </row>
    <row r="69" spans="9:9" x14ac:dyDescent="0.35">
      <c r="I69">
        <v>0.12</v>
      </c>
    </row>
    <row r="70" spans="9:9" x14ac:dyDescent="0.35">
      <c r="I70">
        <v>0.12</v>
      </c>
    </row>
    <row r="71" spans="9:9" x14ac:dyDescent="0.35">
      <c r="I71">
        <v>0.1</v>
      </c>
    </row>
    <row r="72" spans="9:9" x14ac:dyDescent="0.35">
      <c r="I72">
        <v>0.12</v>
      </c>
    </row>
    <row r="73" spans="9:9" x14ac:dyDescent="0.35">
      <c r="I73">
        <v>0.08</v>
      </c>
    </row>
    <row r="74" spans="9:9" x14ac:dyDescent="0.35">
      <c r="I74">
        <v>0.14000000000000001</v>
      </c>
    </row>
    <row r="75" spans="9:9" x14ac:dyDescent="0.35">
      <c r="I75">
        <v>0.04</v>
      </c>
    </row>
    <row r="76" spans="9:9" x14ac:dyDescent="0.35">
      <c r="I76">
        <v>7.0000000000000007E-2</v>
      </c>
    </row>
    <row r="77" spans="9:9" x14ac:dyDescent="0.35">
      <c r="I77">
        <v>0.13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6"/>
  <sheetViews>
    <sheetView workbookViewId="0">
      <selection activeCell="L29" sqref="L29"/>
    </sheetView>
  </sheetViews>
  <sheetFormatPr defaultRowHeight="12.75" x14ac:dyDescent="0.35"/>
  <cols>
    <col min="1" max="1" width="14.19921875" customWidth="1"/>
    <col min="4" max="4" width="10.19921875" customWidth="1"/>
    <col min="7" max="7" width="14.33203125" customWidth="1"/>
    <col min="8" max="8" width="14.86328125" customWidth="1"/>
    <col min="9" max="10" width="14.19921875" customWidth="1"/>
  </cols>
  <sheetData>
    <row r="1" spans="1:27" x14ac:dyDescent="0.35">
      <c r="A1" t="s">
        <v>0</v>
      </c>
    </row>
    <row r="2" spans="1:27" x14ac:dyDescent="0.35">
      <c r="A2" t="s">
        <v>91</v>
      </c>
    </row>
    <row r="3" spans="1:27" x14ac:dyDescent="0.35">
      <c r="A3" t="s">
        <v>4</v>
      </c>
      <c r="B3" s="3" t="s">
        <v>60</v>
      </c>
      <c r="C3" s="3" t="s">
        <v>61</v>
      </c>
      <c r="D3" s="3" t="s">
        <v>65</v>
      </c>
      <c r="E3" s="3" t="s">
        <v>66</v>
      </c>
      <c r="F3" s="3" t="s">
        <v>67</v>
      </c>
      <c r="G3" s="3" t="s">
        <v>62</v>
      </c>
      <c r="H3" s="3" t="s">
        <v>70</v>
      </c>
      <c r="I3" s="3" t="s">
        <v>73</v>
      </c>
      <c r="J3" s="3" t="s">
        <v>74</v>
      </c>
      <c r="K3" s="3" t="s">
        <v>75</v>
      </c>
      <c r="L3" s="3" t="s">
        <v>77</v>
      </c>
      <c r="M3" s="3"/>
      <c r="N3" s="3"/>
      <c r="O3" s="3"/>
      <c r="P3" s="3"/>
      <c r="Q3" s="3"/>
      <c r="R3" s="3" t="s">
        <v>71</v>
      </c>
      <c r="S3" s="3"/>
      <c r="T3" s="54"/>
      <c r="U3" s="54"/>
    </row>
    <row r="4" spans="1:27" x14ac:dyDescent="0.35">
      <c r="A4" t="s">
        <v>2</v>
      </c>
      <c r="B4">
        <v>495101</v>
      </c>
      <c r="C4">
        <v>494610</v>
      </c>
      <c r="D4">
        <v>506347</v>
      </c>
      <c r="E4">
        <v>512462</v>
      </c>
      <c r="F4">
        <v>514725</v>
      </c>
      <c r="G4">
        <v>532609</v>
      </c>
      <c r="H4">
        <v>585581</v>
      </c>
      <c r="I4">
        <v>570146</v>
      </c>
      <c r="J4">
        <v>569781</v>
      </c>
      <c r="K4">
        <v>514109</v>
      </c>
      <c r="L4">
        <v>504490</v>
      </c>
    </row>
    <row r="5" spans="1:27" x14ac:dyDescent="0.35">
      <c r="A5" t="s">
        <v>1</v>
      </c>
      <c r="B5">
        <v>5458333</v>
      </c>
      <c r="C5">
        <v>5458206</v>
      </c>
      <c r="D5">
        <v>5450145</v>
      </c>
      <c r="E5">
        <v>5459705</v>
      </c>
      <c r="F5">
        <v>5460145</v>
      </c>
      <c r="G5">
        <v>5462800</v>
      </c>
      <c r="H5">
        <v>5465765</v>
      </c>
      <c r="I5">
        <v>5473353</v>
      </c>
      <c r="J5">
        <v>5473358</v>
      </c>
      <c r="K5">
        <v>5459963</v>
      </c>
      <c r="L5">
        <v>5456112</v>
      </c>
    </row>
    <row r="6" spans="1:27" x14ac:dyDescent="0.35">
      <c r="D6" t="s">
        <v>41</v>
      </c>
      <c r="G6" t="s">
        <v>68</v>
      </c>
      <c r="H6" t="s">
        <v>68</v>
      </c>
      <c r="I6" t="s">
        <v>68</v>
      </c>
      <c r="J6" t="s">
        <v>68</v>
      </c>
      <c r="L6" t="s">
        <v>78</v>
      </c>
      <c r="W6" s="16"/>
      <c r="X6" s="35" t="s">
        <v>361</v>
      </c>
      <c r="Y6" s="35" t="s">
        <v>362</v>
      </c>
      <c r="Z6" s="35" t="s">
        <v>34</v>
      </c>
      <c r="AA6" s="35" t="s">
        <v>163</v>
      </c>
    </row>
    <row r="7" spans="1:27" x14ac:dyDescent="0.35">
      <c r="B7">
        <v>0.06</v>
      </c>
      <c r="C7">
        <v>0.19</v>
      </c>
      <c r="D7">
        <v>0.02</v>
      </c>
      <c r="E7">
        <v>0.06</v>
      </c>
      <c r="F7">
        <v>0.24</v>
      </c>
      <c r="G7" t="s">
        <v>69</v>
      </c>
      <c r="H7" t="s">
        <v>72</v>
      </c>
      <c r="I7" t="s">
        <v>69</v>
      </c>
      <c r="J7" t="s">
        <v>69</v>
      </c>
      <c r="K7">
        <v>0.08</v>
      </c>
      <c r="L7">
        <v>0.06</v>
      </c>
    </row>
    <row r="8" spans="1:27" x14ac:dyDescent="0.35">
      <c r="B8">
        <v>7.0000000000000007E-2</v>
      </c>
      <c r="C8">
        <v>0.16</v>
      </c>
      <c r="D8">
        <v>0.05</v>
      </c>
      <c r="E8">
        <v>0.06</v>
      </c>
      <c r="F8">
        <v>0.17</v>
      </c>
      <c r="G8">
        <v>0.19</v>
      </c>
      <c r="H8">
        <v>0.31</v>
      </c>
      <c r="I8">
        <v>0.33</v>
      </c>
      <c r="J8">
        <v>0.21</v>
      </c>
      <c r="K8">
        <v>0.11</v>
      </c>
      <c r="L8">
        <v>7.0000000000000007E-2</v>
      </c>
      <c r="N8">
        <v>0.1</v>
      </c>
      <c r="P8" t="s">
        <v>342</v>
      </c>
      <c r="Q8">
        <f>COUNTIF(N$8:N$76,"&gt;=0")-COUNTIF(N$8:N$76,"&gt;0.0499")</f>
        <v>0</v>
      </c>
      <c r="X8">
        <f>1+N8</f>
        <v>1.1000000000000001</v>
      </c>
      <c r="Y8">
        <f>LOG10(X8)</f>
        <v>4.1392685158225077E-2</v>
      </c>
      <c r="Z8">
        <f>1</f>
        <v>1</v>
      </c>
      <c r="AA8" s="23">
        <f>Z8/69</f>
        <v>1.4492753623188406E-2</v>
      </c>
    </row>
    <row r="9" spans="1:27" x14ac:dyDescent="0.35">
      <c r="B9">
        <v>0.08</v>
      </c>
      <c r="C9">
        <v>0.15</v>
      </c>
      <c r="D9">
        <v>7.0000000000000007E-2</v>
      </c>
      <c r="E9">
        <v>7.0000000000000007E-2</v>
      </c>
      <c r="F9">
        <v>0.19</v>
      </c>
      <c r="G9">
        <v>0.1</v>
      </c>
      <c r="H9">
        <v>0.26</v>
      </c>
      <c r="I9">
        <v>0.23</v>
      </c>
      <c r="J9">
        <v>0.19</v>
      </c>
      <c r="K9">
        <v>0.14000000000000001</v>
      </c>
      <c r="L9">
        <v>0.06</v>
      </c>
      <c r="N9">
        <v>0.11</v>
      </c>
      <c r="P9" t="s">
        <v>328</v>
      </c>
      <c r="Q9">
        <f>COUNTIF(N$8:N$76,"&gt;=0.05")-COUNTIF(N$8:N$76,"&gt;0.0999")</f>
        <v>0</v>
      </c>
      <c r="X9">
        <f t="shared" ref="X9:X72" si="0">1+N9</f>
        <v>1.1100000000000001</v>
      </c>
      <c r="Y9">
        <f t="shared" ref="Y9:Y72" si="1">LOG10(X9)</f>
        <v>4.5322978786657475E-2</v>
      </c>
      <c r="Z9">
        <f>1+Z8</f>
        <v>2</v>
      </c>
      <c r="AA9" s="23">
        <f t="shared" ref="AA9:AA72" si="2">Z9/69</f>
        <v>2.8985507246376812E-2</v>
      </c>
    </row>
    <row r="10" spans="1:27" x14ac:dyDescent="0.35">
      <c r="B10">
        <v>0.1</v>
      </c>
      <c r="C10">
        <v>0.21</v>
      </c>
      <c r="D10">
        <v>0.04</v>
      </c>
      <c r="E10">
        <v>0.05</v>
      </c>
      <c r="F10">
        <v>0.18</v>
      </c>
      <c r="G10">
        <v>0.14000000000000001</v>
      </c>
      <c r="H10">
        <v>0.31</v>
      </c>
      <c r="I10">
        <v>0.16</v>
      </c>
      <c r="J10">
        <v>0.25</v>
      </c>
      <c r="K10">
        <v>0.15</v>
      </c>
      <c r="L10">
        <v>0.05</v>
      </c>
      <c r="N10">
        <v>0.11</v>
      </c>
      <c r="P10" t="s">
        <v>329</v>
      </c>
      <c r="Q10">
        <f>COUNTIF(N$8:N$76,"&gt;=0.1")-COUNTIF(N$8:N$76,"&gt;0.1499")</f>
        <v>8</v>
      </c>
      <c r="X10">
        <f t="shared" si="0"/>
        <v>1.1100000000000001</v>
      </c>
      <c r="Y10">
        <f t="shared" si="1"/>
        <v>4.5322978786657475E-2</v>
      </c>
      <c r="Z10">
        <f t="shared" ref="Z10:Z73" si="3">1+Z9</f>
        <v>3</v>
      </c>
      <c r="AA10" s="23">
        <f t="shared" si="2"/>
        <v>4.3478260869565216E-2</v>
      </c>
    </row>
    <row r="11" spans="1:27" x14ac:dyDescent="0.35">
      <c r="B11">
        <v>7.0000000000000007E-2</v>
      </c>
      <c r="C11">
        <v>0.11</v>
      </c>
      <c r="D11">
        <v>0.09</v>
      </c>
      <c r="E11">
        <v>0.05</v>
      </c>
      <c r="F11">
        <v>0.26</v>
      </c>
      <c r="G11">
        <v>0.16</v>
      </c>
      <c r="H11">
        <v>0.33</v>
      </c>
      <c r="I11">
        <v>0.3</v>
      </c>
      <c r="J11">
        <v>0.2</v>
      </c>
      <c r="K11">
        <v>0.2</v>
      </c>
      <c r="L11">
        <v>0.06</v>
      </c>
      <c r="N11">
        <v>0.12</v>
      </c>
      <c r="P11" t="s">
        <v>330</v>
      </c>
      <c r="Q11">
        <f>COUNTIF(N$8:N$76,"&gt;=0.15")-COUNTIF(N$8:N$76,"&gt;0.1999")</f>
        <v>17</v>
      </c>
      <c r="X11">
        <f t="shared" si="0"/>
        <v>1.1200000000000001</v>
      </c>
      <c r="Y11">
        <f t="shared" si="1"/>
        <v>4.9218022670181653E-2</v>
      </c>
      <c r="Z11">
        <f t="shared" si="3"/>
        <v>4</v>
      </c>
      <c r="AA11" s="23">
        <f t="shared" si="2"/>
        <v>5.7971014492753624E-2</v>
      </c>
    </row>
    <row r="12" spans="1:27" x14ac:dyDescent="0.35">
      <c r="B12">
        <v>0.1</v>
      </c>
      <c r="C12">
        <v>0.28000000000000003</v>
      </c>
      <c r="D12">
        <v>0.05</v>
      </c>
      <c r="E12">
        <v>0.06</v>
      </c>
      <c r="F12">
        <v>0.13</v>
      </c>
      <c r="G12">
        <v>0.21</v>
      </c>
      <c r="H12">
        <v>0.22</v>
      </c>
      <c r="I12">
        <v>0.3</v>
      </c>
      <c r="J12">
        <v>0.3</v>
      </c>
      <c r="K12">
        <v>0.22</v>
      </c>
      <c r="L12">
        <v>0.06</v>
      </c>
      <c r="N12">
        <v>0.14000000000000001</v>
      </c>
      <c r="P12" t="s">
        <v>331</v>
      </c>
      <c r="Q12">
        <f>COUNTIF(N$8:N$76,"&gt;=0.20")-COUNTIF(N$8:N$76,"&gt;0.2499")</f>
        <v>11</v>
      </c>
      <c r="X12">
        <f t="shared" si="0"/>
        <v>1.1400000000000001</v>
      </c>
      <c r="Y12">
        <f t="shared" si="1"/>
        <v>5.6904851336472641E-2</v>
      </c>
      <c r="Z12">
        <f t="shared" si="3"/>
        <v>5</v>
      </c>
      <c r="AA12" s="23">
        <f t="shared" si="2"/>
        <v>7.2463768115942032E-2</v>
      </c>
    </row>
    <row r="13" spans="1:27" x14ac:dyDescent="0.35">
      <c r="B13">
        <v>7.0000000000000007E-2</v>
      </c>
      <c r="C13">
        <v>0.32</v>
      </c>
      <c r="D13">
        <v>0.06</v>
      </c>
      <c r="E13">
        <v>0.06</v>
      </c>
      <c r="F13">
        <v>0.14000000000000001</v>
      </c>
      <c r="G13">
        <v>0.24</v>
      </c>
      <c r="H13">
        <v>0.43</v>
      </c>
      <c r="I13">
        <v>0.14000000000000001</v>
      </c>
      <c r="J13">
        <v>0.34</v>
      </c>
      <c r="K13">
        <v>0.22</v>
      </c>
      <c r="L13">
        <v>0.08</v>
      </c>
      <c r="N13">
        <v>0.14000000000000001</v>
      </c>
      <c r="P13" t="s">
        <v>332</v>
      </c>
      <c r="Q13">
        <f>COUNTIF(N$8:N$76,"&gt;=0.25")-COUNTIF(N$8:N$76,"&gt;0.2999")</f>
        <v>10</v>
      </c>
      <c r="X13">
        <f t="shared" si="0"/>
        <v>1.1400000000000001</v>
      </c>
      <c r="Y13">
        <f t="shared" si="1"/>
        <v>5.6904851336472641E-2</v>
      </c>
      <c r="Z13">
        <f t="shared" si="3"/>
        <v>6</v>
      </c>
      <c r="AA13" s="23">
        <f t="shared" si="2"/>
        <v>8.6956521739130432E-2</v>
      </c>
    </row>
    <row r="14" spans="1:27" x14ac:dyDescent="0.35">
      <c r="B14">
        <v>0.06</v>
      </c>
      <c r="C14">
        <v>0.2</v>
      </c>
      <c r="D14">
        <v>7.0000000000000007E-2</v>
      </c>
      <c r="E14">
        <v>0.04</v>
      </c>
      <c r="F14">
        <v>0.11</v>
      </c>
      <c r="H14">
        <v>0.26</v>
      </c>
      <c r="I14">
        <v>0.35</v>
      </c>
      <c r="J14">
        <v>0.37</v>
      </c>
      <c r="K14">
        <v>0.24</v>
      </c>
      <c r="L14">
        <v>0.06</v>
      </c>
      <c r="N14">
        <v>0.14000000000000001</v>
      </c>
      <c r="P14" t="s">
        <v>333</v>
      </c>
      <c r="Q14">
        <f>COUNTIF(N$8:N$76,"&gt;=0.3")-COUNTIF(N$8:N$76,"&gt;0.3499")</f>
        <v>11</v>
      </c>
      <c r="X14">
        <f t="shared" si="0"/>
        <v>1.1400000000000001</v>
      </c>
      <c r="Y14">
        <f t="shared" si="1"/>
        <v>5.6904851336472641E-2</v>
      </c>
      <c r="Z14">
        <f t="shared" si="3"/>
        <v>7</v>
      </c>
      <c r="AA14" s="23">
        <f t="shared" si="2"/>
        <v>0.10144927536231885</v>
      </c>
    </row>
    <row r="15" spans="1:27" ht="15" x14ac:dyDescent="0.4">
      <c r="B15">
        <v>0.12</v>
      </c>
      <c r="C15">
        <v>0.22</v>
      </c>
      <c r="D15">
        <v>0.06</v>
      </c>
      <c r="E15">
        <v>0.06</v>
      </c>
      <c r="F15">
        <v>0.18</v>
      </c>
      <c r="G15" s="6">
        <f>SUM(G8:G13)/6</f>
        <v>0.17333333333333334</v>
      </c>
      <c r="H15">
        <v>0.35</v>
      </c>
      <c r="I15">
        <v>0.32</v>
      </c>
      <c r="J15">
        <v>0.16</v>
      </c>
      <c r="K15">
        <v>0.28000000000000003</v>
      </c>
      <c r="L15">
        <v>0.08</v>
      </c>
      <c r="N15">
        <v>0.14000000000000001</v>
      </c>
      <c r="P15" t="s">
        <v>334</v>
      </c>
      <c r="Q15">
        <f>COUNTIF(N$8:N$76,"&gt;=0.35")-COUNTIF(N$8:N$76,"&gt;0.3999")</f>
        <v>12</v>
      </c>
      <c r="X15">
        <f t="shared" si="0"/>
        <v>1.1400000000000001</v>
      </c>
      <c r="Y15">
        <f t="shared" si="1"/>
        <v>5.6904851336472641E-2</v>
      </c>
      <c r="Z15">
        <f t="shared" si="3"/>
        <v>8</v>
      </c>
      <c r="AA15" s="23">
        <f t="shared" si="2"/>
        <v>0.11594202898550725</v>
      </c>
    </row>
    <row r="16" spans="1:27" x14ac:dyDescent="0.35">
      <c r="B16">
        <v>0.15</v>
      </c>
      <c r="C16">
        <v>0.23</v>
      </c>
      <c r="D16">
        <v>0.13</v>
      </c>
      <c r="E16">
        <v>7.0000000000000007E-2</v>
      </c>
      <c r="F16">
        <v>0.24</v>
      </c>
      <c r="H16">
        <v>0.36</v>
      </c>
      <c r="I16">
        <v>0.14000000000000001</v>
      </c>
      <c r="J16">
        <v>0.14000000000000001</v>
      </c>
      <c r="K16">
        <v>0.28000000000000003</v>
      </c>
      <c r="L16">
        <v>0.06</v>
      </c>
      <c r="N16">
        <v>0.15</v>
      </c>
      <c r="P16" t="s">
        <v>360</v>
      </c>
      <c r="Q16">
        <f>COUNTIF(N$8:N$76,"&gt;=0.4")</f>
        <v>0</v>
      </c>
      <c r="X16">
        <f t="shared" si="0"/>
        <v>1.1499999999999999</v>
      </c>
      <c r="Y16">
        <f t="shared" si="1"/>
        <v>6.069784035361165E-2</v>
      </c>
      <c r="Z16">
        <f t="shared" si="3"/>
        <v>9</v>
      </c>
      <c r="AA16" s="23">
        <f t="shared" si="2"/>
        <v>0.13043478260869565</v>
      </c>
    </row>
    <row r="17" spans="2:27" x14ac:dyDescent="0.35">
      <c r="B17">
        <v>0.06</v>
      </c>
      <c r="C17">
        <v>0.2</v>
      </c>
      <c r="D17">
        <v>0.04</v>
      </c>
      <c r="E17">
        <v>0.05</v>
      </c>
      <c r="F17">
        <v>0.19</v>
      </c>
      <c r="H17">
        <v>0.27</v>
      </c>
      <c r="I17">
        <v>0.26</v>
      </c>
      <c r="J17">
        <v>0.31</v>
      </c>
      <c r="K17">
        <v>0.28999999999999998</v>
      </c>
      <c r="L17">
        <v>0.08</v>
      </c>
      <c r="N17">
        <v>0.15</v>
      </c>
      <c r="X17">
        <f t="shared" si="0"/>
        <v>1.1499999999999999</v>
      </c>
      <c r="Y17">
        <f t="shared" si="1"/>
        <v>6.069784035361165E-2</v>
      </c>
      <c r="Z17">
        <f t="shared" si="3"/>
        <v>10</v>
      </c>
      <c r="AA17" s="23">
        <f t="shared" si="2"/>
        <v>0.14492753623188406</v>
      </c>
    </row>
    <row r="18" spans="2:27" x14ac:dyDescent="0.35">
      <c r="B18">
        <v>0.06</v>
      </c>
      <c r="C18">
        <v>0.21</v>
      </c>
      <c r="D18">
        <v>0.05</v>
      </c>
      <c r="E18">
        <v>0.03</v>
      </c>
      <c r="F18">
        <v>0.15</v>
      </c>
      <c r="H18">
        <v>0.36</v>
      </c>
      <c r="I18">
        <v>0.32</v>
      </c>
      <c r="J18">
        <v>0.34</v>
      </c>
      <c r="K18">
        <v>0.3</v>
      </c>
      <c r="L18">
        <v>7.0000000000000007E-2</v>
      </c>
      <c r="N18">
        <v>0.15</v>
      </c>
      <c r="X18">
        <f t="shared" si="0"/>
        <v>1.1499999999999999</v>
      </c>
      <c r="Y18">
        <f t="shared" si="1"/>
        <v>6.069784035361165E-2</v>
      </c>
      <c r="Z18">
        <f t="shared" si="3"/>
        <v>11</v>
      </c>
      <c r="AA18" s="23">
        <f t="shared" si="2"/>
        <v>0.15942028985507245</v>
      </c>
    </row>
    <row r="19" spans="2:27" x14ac:dyDescent="0.35">
      <c r="B19">
        <v>0.11</v>
      </c>
      <c r="C19">
        <v>0.28000000000000003</v>
      </c>
      <c r="D19">
        <v>0.08</v>
      </c>
      <c r="E19">
        <v>0.1</v>
      </c>
      <c r="F19">
        <v>0.1</v>
      </c>
      <c r="H19">
        <v>0.3</v>
      </c>
      <c r="I19">
        <v>0.17</v>
      </c>
      <c r="J19">
        <v>0.38</v>
      </c>
      <c r="K19">
        <v>0.31</v>
      </c>
      <c r="L19">
        <v>7.0000000000000007E-2</v>
      </c>
      <c r="N19">
        <v>0.16</v>
      </c>
      <c r="X19">
        <f t="shared" si="0"/>
        <v>1.1599999999999999</v>
      </c>
      <c r="Y19">
        <f t="shared" si="1"/>
        <v>6.445798922691845E-2</v>
      </c>
      <c r="Z19">
        <f t="shared" si="3"/>
        <v>12</v>
      </c>
      <c r="AA19" s="23">
        <f t="shared" si="2"/>
        <v>0.17391304347826086</v>
      </c>
    </row>
    <row r="20" spans="2:27" x14ac:dyDescent="0.35">
      <c r="B20">
        <v>7.0000000000000007E-2</v>
      </c>
      <c r="C20">
        <v>0.26</v>
      </c>
      <c r="D20">
        <v>0.09</v>
      </c>
      <c r="E20">
        <v>0.06</v>
      </c>
      <c r="F20">
        <v>0.09</v>
      </c>
      <c r="H20">
        <v>0.23</v>
      </c>
      <c r="I20">
        <v>0.21</v>
      </c>
      <c r="J20">
        <v>0.19</v>
      </c>
      <c r="K20">
        <v>0.33</v>
      </c>
      <c r="L20">
        <v>0.05</v>
      </c>
      <c r="N20">
        <v>0.16</v>
      </c>
      <c r="X20">
        <f t="shared" si="0"/>
        <v>1.1599999999999999</v>
      </c>
      <c r="Y20">
        <f t="shared" si="1"/>
        <v>6.445798922691845E-2</v>
      </c>
      <c r="Z20">
        <f t="shared" si="3"/>
        <v>13</v>
      </c>
      <c r="AA20" s="23">
        <f t="shared" si="2"/>
        <v>0.18840579710144928</v>
      </c>
    </row>
    <row r="21" spans="2:27" x14ac:dyDescent="0.35">
      <c r="B21">
        <v>7.0000000000000007E-2</v>
      </c>
      <c r="C21">
        <v>0.23</v>
      </c>
      <c r="D21">
        <v>7.0000000000000007E-2</v>
      </c>
      <c r="E21">
        <v>0.06</v>
      </c>
      <c r="F21">
        <v>0.13</v>
      </c>
      <c r="H21">
        <v>0.28999999999999998</v>
      </c>
      <c r="I21">
        <v>0.15</v>
      </c>
      <c r="J21">
        <v>0.24</v>
      </c>
      <c r="K21">
        <v>0.34</v>
      </c>
      <c r="L21">
        <v>0.06</v>
      </c>
      <c r="N21">
        <v>0.16</v>
      </c>
      <c r="X21">
        <f t="shared" si="0"/>
        <v>1.1599999999999999</v>
      </c>
      <c r="Y21">
        <f t="shared" si="1"/>
        <v>6.445798922691845E-2</v>
      </c>
      <c r="Z21">
        <f t="shared" si="3"/>
        <v>14</v>
      </c>
      <c r="AA21" s="23">
        <f t="shared" si="2"/>
        <v>0.20289855072463769</v>
      </c>
    </row>
    <row r="22" spans="2:27" x14ac:dyDescent="0.35">
      <c r="B22">
        <v>0.05</v>
      </c>
      <c r="C22">
        <v>0.22</v>
      </c>
      <c r="D22">
        <v>0.06</v>
      </c>
      <c r="E22">
        <v>0.06</v>
      </c>
      <c r="F22">
        <v>0.28000000000000003</v>
      </c>
      <c r="H22">
        <v>0.36</v>
      </c>
      <c r="I22">
        <v>0.11</v>
      </c>
      <c r="J22">
        <v>0.14000000000000001</v>
      </c>
      <c r="K22">
        <v>0.34</v>
      </c>
      <c r="L22">
        <v>0.08</v>
      </c>
      <c r="N22">
        <v>0.16</v>
      </c>
      <c r="X22">
        <f t="shared" si="0"/>
        <v>1.1599999999999999</v>
      </c>
      <c r="Y22">
        <f t="shared" si="1"/>
        <v>6.445798922691845E-2</v>
      </c>
      <c r="Z22">
        <f t="shared" si="3"/>
        <v>15</v>
      </c>
      <c r="AA22" s="23">
        <f t="shared" si="2"/>
        <v>0.21739130434782608</v>
      </c>
    </row>
    <row r="23" spans="2:27" x14ac:dyDescent="0.35">
      <c r="B23">
        <v>7.0000000000000007E-2</v>
      </c>
      <c r="C23">
        <v>0.16</v>
      </c>
      <c r="D23">
        <v>0.06</v>
      </c>
      <c r="E23">
        <v>7.0000000000000007E-2</v>
      </c>
      <c r="F23">
        <v>0.16</v>
      </c>
      <c r="H23">
        <v>0.23</v>
      </c>
      <c r="I23">
        <v>0.15</v>
      </c>
      <c r="J23">
        <v>0.24</v>
      </c>
      <c r="K23">
        <v>0.35</v>
      </c>
      <c r="L23">
        <v>0.06</v>
      </c>
      <c r="N23">
        <v>0.16</v>
      </c>
      <c r="X23">
        <f t="shared" si="0"/>
        <v>1.1599999999999999</v>
      </c>
      <c r="Y23">
        <f t="shared" si="1"/>
        <v>6.445798922691845E-2</v>
      </c>
      <c r="Z23">
        <f t="shared" si="3"/>
        <v>16</v>
      </c>
      <c r="AA23" s="23">
        <f t="shared" si="2"/>
        <v>0.2318840579710145</v>
      </c>
    </row>
    <row r="24" spans="2:27" x14ac:dyDescent="0.35">
      <c r="B24">
        <v>0.12</v>
      </c>
      <c r="C24">
        <v>0.13</v>
      </c>
      <c r="D24">
        <v>0.04</v>
      </c>
      <c r="E24">
        <v>0.05</v>
      </c>
      <c r="F24">
        <v>0.2</v>
      </c>
      <c r="H24">
        <v>0.39</v>
      </c>
      <c r="I24">
        <v>0.17</v>
      </c>
      <c r="J24">
        <v>0.39</v>
      </c>
      <c r="L24">
        <v>0.06</v>
      </c>
      <c r="N24">
        <v>0.17</v>
      </c>
      <c r="X24">
        <f t="shared" si="0"/>
        <v>1.17</v>
      </c>
      <c r="Y24">
        <f t="shared" si="1"/>
        <v>6.8185861746161619E-2</v>
      </c>
      <c r="Z24">
        <f t="shared" si="3"/>
        <v>17</v>
      </c>
      <c r="AA24" s="23">
        <f t="shared" si="2"/>
        <v>0.24637681159420291</v>
      </c>
    </row>
    <row r="25" spans="2:27" ht="15" x14ac:dyDescent="0.4">
      <c r="B25">
        <v>0.06</v>
      </c>
      <c r="C25">
        <v>0.15</v>
      </c>
      <c r="D25">
        <v>0.05</v>
      </c>
      <c r="E25">
        <v>7.0000000000000007E-2</v>
      </c>
      <c r="F25">
        <v>0.09</v>
      </c>
      <c r="I25">
        <v>0.26</v>
      </c>
      <c r="J25">
        <v>0.15</v>
      </c>
      <c r="K25" s="6">
        <f>SUM(K7:K23)/17</f>
        <v>0.24588235294117644</v>
      </c>
      <c r="L25">
        <v>0.08</v>
      </c>
      <c r="N25">
        <v>0.17</v>
      </c>
      <c r="X25">
        <f t="shared" si="0"/>
        <v>1.17</v>
      </c>
      <c r="Y25">
        <f t="shared" si="1"/>
        <v>6.8185861746161619E-2</v>
      </c>
      <c r="Z25">
        <f t="shared" si="3"/>
        <v>18</v>
      </c>
      <c r="AA25" s="23">
        <f t="shared" si="2"/>
        <v>0.2608695652173913</v>
      </c>
    </row>
    <row r="26" spans="2:27" ht="15" x14ac:dyDescent="0.4">
      <c r="B26">
        <v>0.06</v>
      </c>
      <c r="C26">
        <v>0.1</v>
      </c>
      <c r="D26">
        <v>0.04</v>
      </c>
      <c r="E26">
        <v>0.06</v>
      </c>
      <c r="F26">
        <v>0.18</v>
      </c>
      <c r="H26" s="6">
        <f>SUM(H8:H24)/17</f>
        <v>0.30941176470588233</v>
      </c>
      <c r="I26">
        <v>0.39</v>
      </c>
      <c r="J26">
        <v>0.26</v>
      </c>
      <c r="L26">
        <v>0.03</v>
      </c>
      <c r="N26">
        <v>0.18</v>
      </c>
      <c r="X26">
        <f t="shared" si="0"/>
        <v>1.18</v>
      </c>
      <c r="Y26">
        <f t="shared" si="1"/>
        <v>7.1882007306125359E-2</v>
      </c>
      <c r="Z26">
        <f t="shared" si="3"/>
        <v>19</v>
      </c>
      <c r="AA26" s="23">
        <f t="shared" si="2"/>
        <v>0.27536231884057971</v>
      </c>
    </row>
    <row r="27" spans="2:27" x14ac:dyDescent="0.35">
      <c r="B27">
        <v>0.08</v>
      </c>
      <c r="C27">
        <v>0.31</v>
      </c>
      <c r="D27">
        <v>0.06</v>
      </c>
      <c r="E27">
        <v>0.06</v>
      </c>
      <c r="F27">
        <v>0.12</v>
      </c>
      <c r="I27">
        <v>0.1</v>
      </c>
      <c r="J27">
        <v>0.21</v>
      </c>
      <c r="L27">
        <v>7.0000000000000007E-2</v>
      </c>
      <c r="N27">
        <v>0.18</v>
      </c>
      <c r="X27">
        <f t="shared" si="0"/>
        <v>1.18</v>
      </c>
      <c r="Y27">
        <f t="shared" si="1"/>
        <v>7.1882007306125359E-2</v>
      </c>
      <c r="Z27">
        <f t="shared" si="3"/>
        <v>20</v>
      </c>
      <c r="AA27" s="23">
        <f t="shared" si="2"/>
        <v>0.28985507246376813</v>
      </c>
    </row>
    <row r="28" spans="2:27" x14ac:dyDescent="0.35">
      <c r="B28">
        <v>0.05</v>
      </c>
      <c r="C28">
        <v>0.28999999999999998</v>
      </c>
      <c r="D28">
        <v>7.0000000000000007E-2</v>
      </c>
      <c r="E28">
        <v>0.06</v>
      </c>
      <c r="F28">
        <v>0.09</v>
      </c>
      <c r="I28">
        <v>0.2</v>
      </c>
      <c r="J28">
        <v>0.23</v>
      </c>
      <c r="L28">
        <v>0.05</v>
      </c>
      <c r="N28">
        <v>0.18</v>
      </c>
      <c r="X28">
        <f t="shared" si="0"/>
        <v>1.18</v>
      </c>
      <c r="Y28">
        <f t="shared" si="1"/>
        <v>7.1882007306125359E-2</v>
      </c>
      <c r="Z28">
        <f t="shared" si="3"/>
        <v>21</v>
      </c>
      <c r="AA28" s="23">
        <f t="shared" si="2"/>
        <v>0.30434782608695654</v>
      </c>
    </row>
    <row r="29" spans="2:27" x14ac:dyDescent="0.35">
      <c r="B29">
        <v>0.08</v>
      </c>
      <c r="C29">
        <v>0.09</v>
      </c>
      <c r="D29">
        <v>7.0000000000000007E-2</v>
      </c>
      <c r="E29">
        <v>0.05</v>
      </c>
      <c r="F29">
        <v>0.08</v>
      </c>
      <c r="I29">
        <v>0.11</v>
      </c>
      <c r="J29">
        <v>0.36</v>
      </c>
      <c r="L29">
        <v>0.05</v>
      </c>
      <c r="N29">
        <v>0.19</v>
      </c>
      <c r="X29">
        <f t="shared" si="0"/>
        <v>1.19</v>
      </c>
      <c r="Y29">
        <f t="shared" si="1"/>
        <v>7.554696139253074E-2</v>
      </c>
      <c r="Z29">
        <f t="shared" si="3"/>
        <v>22</v>
      </c>
      <c r="AA29" s="23">
        <f t="shared" si="2"/>
        <v>0.3188405797101449</v>
      </c>
    </row>
    <row r="30" spans="2:27" x14ac:dyDescent="0.35">
      <c r="B30">
        <v>0.17</v>
      </c>
      <c r="C30">
        <v>0.12</v>
      </c>
      <c r="D30">
        <v>0.06</v>
      </c>
      <c r="E30">
        <v>0.05</v>
      </c>
      <c r="F30">
        <v>0.08</v>
      </c>
      <c r="I30">
        <v>0.26</v>
      </c>
      <c r="N30">
        <v>0.19</v>
      </c>
      <c r="X30">
        <f t="shared" si="0"/>
        <v>1.19</v>
      </c>
      <c r="Y30">
        <f t="shared" si="1"/>
        <v>7.554696139253074E-2</v>
      </c>
      <c r="Z30">
        <f t="shared" si="3"/>
        <v>23</v>
      </c>
      <c r="AA30" s="23">
        <f t="shared" si="2"/>
        <v>0.33333333333333331</v>
      </c>
    </row>
    <row r="31" spans="2:27" ht="15" x14ac:dyDescent="0.4">
      <c r="C31">
        <v>0.14000000000000001</v>
      </c>
      <c r="D31">
        <v>0.05</v>
      </c>
      <c r="E31">
        <v>0.09</v>
      </c>
      <c r="F31">
        <v>0.26</v>
      </c>
      <c r="I31">
        <v>0.12</v>
      </c>
      <c r="J31" s="6">
        <f>SUM(J8:J29)/22</f>
        <v>0.25454545454545457</v>
      </c>
      <c r="L31" s="6">
        <f>SUM(L7:L29)/23</f>
        <v>6.3043478260869576E-2</v>
      </c>
      <c r="N31">
        <v>0.19</v>
      </c>
      <c r="X31">
        <f t="shared" si="0"/>
        <v>1.19</v>
      </c>
      <c r="Y31">
        <f t="shared" si="1"/>
        <v>7.554696139253074E-2</v>
      </c>
      <c r="Z31">
        <f t="shared" si="3"/>
        <v>24</v>
      </c>
      <c r="AA31" s="23">
        <f t="shared" si="2"/>
        <v>0.34782608695652173</v>
      </c>
    </row>
    <row r="32" spans="2:27" x14ac:dyDescent="0.35">
      <c r="C32">
        <v>0.15</v>
      </c>
      <c r="D32">
        <v>0.06</v>
      </c>
      <c r="E32">
        <v>0.08</v>
      </c>
      <c r="F32">
        <v>0.13</v>
      </c>
      <c r="I32">
        <v>0.39</v>
      </c>
      <c r="N32">
        <v>0.19</v>
      </c>
      <c r="X32">
        <f t="shared" si="0"/>
        <v>1.19</v>
      </c>
      <c r="Y32">
        <f t="shared" si="1"/>
        <v>7.554696139253074E-2</v>
      </c>
      <c r="Z32">
        <f t="shared" si="3"/>
        <v>25</v>
      </c>
      <c r="AA32" s="23">
        <f t="shared" si="2"/>
        <v>0.36231884057971014</v>
      </c>
    </row>
    <row r="33" spans="2:27" x14ac:dyDescent="0.35">
      <c r="C33">
        <v>0.08</v>
      </c>
      <c r="D33">
        <v>7.0000000000000007E-2</v>
      </c>
      <c r="E33">
        <v>0.05</v>
      </c>
      <c r="F33">
        <v>0.13</v>
      </c>
      <c r="I33">
        <v>0.37</v>
      </c>
      <c r="N33">
        <v>0.2</v>
      </c>
      <c r="X33">
        <f t="shared" si="0"/>
        <v>1.2</v>
      </c>
      <c r="Y33">
        <f t="shared" si="1"/>
        <v>7.9181246047624818E-2</v>
      </c>
      <c r="Z33">
        <f t="shared" si="3"/>
        <v>26</v>
      </c>
      <c r="AA33" s="23">
        <f t="shared" si="2"/>
        <v>0.37681159420289856</v>
      </c>
    </row>
    <row r="34" spans="2:27" x14ac:dyDescent="0.35">
      <c r="C34">
        <v>0.12</v>
      </c>
      <c r="D34">
        <v>0.05</v>
      </c>
      <c r="E34">
        <v>7.0000000000000007E-2</v>
      </c>
      <c r="F34">
        <v>0.16</v>
      </c>
      <c r="I34">
        <v>0.23</v>
      </c>
      <c r="N34">
        <v>0.2</v>
      </c>
      <c r="X34">
        <f t="shared" si="0"/>
        <v>1.2</v>
      </c>
      <c r="Y34">
        <f t="shared" si="1"/>
        <v>7.9181246047624818E-2</v>
      </c>
      <c r="Z34">
        <f t="shared" si="3"/>
        <v>27</v>
      </c>
      <c r="AA34" s="23">
        <f t="shared" si="2"/>
        <v>0.39130434782608697</v>
      </c>
    </row>
    <row r="35" spans="2:27" ht="15" x14ac:dyDescent="0.4">
      <c r="B35" s="6">
        <f>SUM(B7:B30)/24</f>
        <v>8.2916666666666708E-2</v>
      </c>
      <c r="C35">
        <v>0.09</v>
      </c>
      <c r="E35">
        <v>7.0000000000000007E-2</v>
      </c>
      <c r="I35">
        <v>0.36</v>
      </c>
      <c r="N35">
        <v>0.21</v>
      </c>
      <c r="X35">
        <f t="shared" si="0"/>
        <v>1.21</v>
      </c>
      <c r="Y35">
        <f t="shared" si="1"/>
        <v>8.2785370316450071E-2</v>
      </c>
      <c r="Z35">
        <f t="shared" si="3"/>
        <v>28</v>
      </c>
      <c r="AA35" s="23">
        <f t="shared" si="2"/>
        <v>0.40579710144927539</v>
      </c>
    </row>
    <row r="36" spans="2:27" ht="15" x14ac:dyDescent="0.4">
      <c r="C36">
        <v>0.26</v>
      </c>
      <c r="D36" s="6">
        <f>SUM(D7:D34)/28</f>
        <v>6.1071428571428596E-2</v>
      </c>
      <c r="E36">
        <v>0.1</v>
      </c>
      <c r="F36" s="6">
        <f>SUM(F7:F34)/28</f>
        <v>0.15928571428571431</v>
      </c>
      <c r="I36">
        <v>0.26</v>
      </c>
      <c r="N36">
        <v>0.21</v>
      </c>
      <c r="X36">
        <f t="shared" si="0"/>
        <v>1.21</v>
      </c>
      <c r="Y36">
        <f t="shared" si="1"/>
        <v>8.2785370316450071E-2</v>
      </c>
      <c r="Z36">
        <f t="shared" si="3"/>
        <v>29</v>
      </c>
      <c r="AA36" s="23">
        <f t="shared" si="2"/>
        <v>0.42028985507246375</v>
      </c>
    </row>
    <row r="37" spans="2:27" x14ac:dyDescent="0.35">
      <c r="C37">
        <v>0.31</v>
      </c>
      <c r="E37">
        <v>0.09</v>
      </c>
      <c r="I37">
        <v>0.34</v>
      </c>
      <c r="N37">
        <v>0.21</v>
      </c>
      <c r="X37">
        <f t="shared" si="0"/>
        <v>1.21</v>
      </c>
      <c r="Y37">
        <f t="shared" si="1"/>
        <v>8.2785370316450071E-2</v>
      </c>
      <c r="Z37">
        <f t="shared" si="3"/>
        <v>30</v>
      </c>
      <c r="AA37" s="23">
        <f t="shared" si="2"/>
        <v>0.43478260869565216</v>
      </c>
    </row>
    <row r="38" spans="2:27" x14ac:dyDescent="0.35">
      <c r="C38">
        <v>0.34</v>
      </c>
      <c r="E38">
        <v>0.11</v>
      </c>
      <c r="I38">
        <v>0.36</v>
      </c>
      <c r="N38">
        <v>0.23</v>
      </c>
      <c r="X38">
        <f t="shared" si="0"/>
        <v>1.23</v>
      </c>
      <c r="Y38">
        <f t="shared" si="1"/>
        <v>8.9905111439397931E-2</v>
      </c>
      <c r="Z38">
        <f t="shared" si="3"/>
        <v>31</v>
      </c>
      <c r="AA38" s="23">
        <f t="shared" si="2"/>
        <v>0.44927536231884058</v>
      </c>
    </row>
    <row r="39" spans="2:27" x14ac:dyDescent="0.35">
      <c r="C39">
        <v>0.35</v>
      </c>
      <c r="E39">
        <v>0.05</v>
      </c>
      <c r="I39">
        <v>0.16</v>
      </c>
      <c r="N39">
        <v>0.23</v>
      </c>
      <c r="X39">
        <f t="shared" si="0"/>
        <v>1.23</v>
      </c>
      <c r="Y39">
        <f t="shared" si="1"/>
        <v>8.9905111439397931E-2</v>
      </c>
      <c r="Z39">
        <f t="shared" si="3"/>
        <v>32</v>
      </c>
      <c r="AA39" s="23">
        <f t="shared" si="2"/>
        <v>0.46376811594202899</v>
      </c>
    </row>
    <row r="40" spans="2:27" x14ac:dyDescent="0.35">
      <c r="C40">
        <v>0.14000000000000001</v>
      </c>
      <c r="E40">
        <v>0.11</v>
      </c>
      <c r="I40">
        <v>0.19</v>
      </c>
      <c r="N40">
        <v>0.23</v>
      </c>
      <c r="X40">
        <f t="shared" si="0"/>
        <v>1.23</v>
      </c>
      <c r="Y40">
        <f t="shared" si="1"/>
        <v>8.9905111439397931E-2</v>
      </c>
      <c r="Z40">
        <f t="shared" si="3"/>
        <v>33</v>
      </c>
      <c r="AA40" s="23">
        <f t="shared" si="2"/>
        <v>0.47826086956521741</v>
      </c>
    </row>
    <row r="41" spans="2:27" x14ac:dyDescent="0.35">
      <c r="C41">
        <v>0.31</v>
      </c>
      <c r="E41">
        <v>0.06</v>
      </c>
      <c r="I41">
        <v>0.26</v>
      </c>
      <c r="N41">
        <v>0.24</v>
      </c>
      <c r="X41">
        <f t="shared" si="0"/>
        <v>1.24</v>
      </c>
      <c r="Y41">
        <f t="shared" si="1"/>
        <v>9.3421685162235063E-2</v>
      </c>
      <c r="Z41">
        <f t="shared" si="3"/>
        <v>34</v>
      </c>
      <c r="AA41" s="23">
        <f t="shared" si="2"/>
        <v>0.49275362318840582</v>
      </c>
    </row>
    <row r="42" spans="2:27" x14ac:dyDescent="0.35">
      <c r="C42">
        <v>0.33</v>
      </c>
      <c r="E42">
        <v>0.08</v>
      </c>
      <c r="I42">
        <v>0.35</v>
      </c>
      <c r="N42">
        <v>0.24</v>
      </c>
      <c r="X42">
        <f t="shared" si="0"/>
        <v>1.24</v>
      </c>
      <c r="Y42">
        <f t="shared" si="1"/>
        <v>9.3421685162235063E-2</v>
      </c>
      <c r="Z42">
        <f t="shared" si="3"/>
        <v>35</v>
      </c>
      <c r="AA42" s="23">
        <f t="shared" si="2"/>
        <v>0.50724637681159424</v>
      </c>
    </row>
    <row r="43" spans="2:27" x14ac:dyDescent="0.35">
      <c r="C43">
        <v>0.28000000000000003</v>
      </c>
      <c r="E43">
        <v>0.08</v>
      </c>
      <c r="I43">
        <v>0.32</v>
      </c>
      <c r="N43">
        <v>0.24</v>
      </c>
      <c r="X43">
        <f t="shared" si="0"/>
        <v>1.24</v>
      </c>
      <c r="Y43">
        <f t="shared" si="1"/>
        <v>9.3421685162235063E-2</v>
      </c>
      <c r="Z43">
        <f t="shared" si="3"/>
        <v>36</v>
      </c>
      <c r="AA43" s="23">
        <f t="shared" si="2"/>
        <v>0.52173913043478259</v>
      </c>
    </row>
    <row r="44" spans="2:27" x14ac:dyDescent="0.35">
      <c r="C44">
        <v>0.31</v>
      </c>
      <c r="E44">
        <v>0.09</v>
      </c>
      <c r="I44">
        <v>0.16</v>
      </c>
      <c r="N44">
        <v>0.25</v>
      </c>
      <c r="X44">
        <f t="shared" si="0"/>
        <v>1.25</v>
      </c>
      <c r="Y44">
        <f t="shared" si="1"/>
        <v>9.691001300805642E-2</v>
      </c>
      <c r="Z44">
        <f t="shared" si="3"/>
        <v>37</v>
      </c>
      <c r="AA44" s="23">
        <f t="shared" si="2"/>
        <v>0.53623188405797106</v>
      </c>
    </row>
    <row r="45" spans="2:27" x14ac:dyDescent="0.35">
      <c r="C45">
        <v>0.22</v>
      </c>
      <c r="E45">
        <v>0.05</v>
      </c>
      <c r="I45">
        <v>0.16</v>
      </c>
      <c r="N45">
        <v>0.26</v>
      </c>
      <c r="X45">
        <f t="shared" si="0"/>
        <v>1.26</v>
      </c>
      <c r="Y45">
        <f t="shared" si="1"/>
        <v>0.10037054511756291</v>
      </c>
      <c r="Z45">
        <f t="shared" si="3"/>
        <v>38</v>
      </c>
      <c r="AA45" s="23">
        <f t="shared" si="2"/>
        <v>0.55072463768115942</v>
      </c>
    </row>
    <row r="46" spans="2:27" x14ac:dyDescent="0.35">
      <c r="C46">
        <v>0.32</v>
      </c>
      <c r="E46">
        <v>0.04</v>
      </c>
      <c r="I46">
        <v>0.18</v>
      </c>
      <c r="N46">
        <v>0.26</v>
      </c>
      <c r="X46">
        <f t="shared" si="0"/>
        <v>1.26</v>
      </c>
      <c r="Y46">
        <f t="shared" si="1"/>
        <v>0.10037054511756291</v>
      </c>
      <c r="Z46">
        <f t="shared" si="3"/>
        <v>39</v>
      </c>
      <c r="AA46" s="23">
        <f t="shared" si="2"/>
        <v>0.56521739130434778</v>
      </c>
    </row>
    <row r="47" spans="2:27" x14ac:dyDescent="0.35">
      <c r="C47">
        <v>0.18</v>
      </c>
      <c r="E47">
        <v>0.15</v>
      </c>
      <c r="I47">
        <v>0.18</v>
      </c>
      <c r="N47">
        <v>0.26</v>
      </c>
      <c r="X47">
        <f t="shared" si="0"/>
        <v>1.26</v>
      </c>
      <c r="Y47">
        <f t="shared" si="1"/>
        <v>0.10037054511756291</v>
      </c>
      <c r="Z47">
        <f t="shared" si="3"/>
        <v>40</v>
      </c>
      <c r="AA47" s="23">
        <f t="shared" si="2"/>
        <v>0.57971014492753625</v>
      </c>
    </row>
    <row r="48" spans="2:27" x14ac:dyDescent="0.35">
      <c r="C48">
        <v>0.32</v>
      </c>
      <c r="E48">
        <v>0.15</v>
      </c>
      <c r="I48">
        <v>0.19</v>
      </c>
      <c r="N48">
        <v>0.26</v>
      </c>
      <c r="X48">
        <f t="shared" si="0"/>
        <v>1.26</v>
      </c>
      <c r="Y48">
        <f t="shared" si="1"/>
        <v>0.10037054511756291</v>
      </c>
      <c r="Z48">
        <f t="shared" si="3"/>
        <v>41</v>
      </c>
      <c r="AA48" s="23">
        <f t="shared" si="2"/>
        <v>0.59420289855072461</v>
      </c>
    </row>
    <row r="49" spans="3:27" x14ac:dyDescent="0.35">
      <c r="C49">
        <v>0.28000000000000003</v>
      </c>
      <c r="E49">
        <v>0.11</v>
      </c>
      <c r="I49">
        <v>0.28000000000000003</v>
      </c>
      <c r="N49">
        <v>0.26</v>
      </c>
      <c r="X49">
        <f t="shared" si="0"/>
        <v>1.26</v>
      </c>
      <c r="Y49">
        <f t="shared" si="1"/>
        <v>0.10037054511756291</v>
      </c>
      <c r="Z49">
        <f t="shared" si="3"/>
        <v>42</v>
      </c>
      <c r="AA49" s="23">
        <f t="shared" si="2"/>
        <v>0.60869565217391308</v>
      </c>
    </row>
    <row r="50" spans="3:27" x14ac:dyDescent="0.35">
      <c r="C50">
        <v>0.21</v>
      </c>
      <c r="E50">
        <v>0.08</v>
      </c>
      <c r="I50">
        <v>0.28999999999999998</v>
      </c>
      <c r="N50">
        <v>0.26</v>
      </c>
      <c r="X50">
        <f t="shared" si="0"/>
        <v>1.26</v>
      </c>
      <c r="Y50">
        <f t="shared" si="1"/>
        <v>0.10037054511756291</v>
      </c>
      <c r="Z50">
        <f t="shared" si="3"/>
        <v>43</v>
      </c>
      <c r="AA50" s="23">
        <f t="shared" si="2"/>
        <v>0.62318840579710144</v>
      </c>
    </row>
    <row r="51" spans="3:27" x14ac:dyDescent="0.35">
      <c r="C51">
        <v>0.32</v>
      </c>
      <c r="E51">
        <v>0.06</v>
      </c>
      <c r="I51">
        <v>0.37</v>
      </c>
      <c r="N51">
        <v>0.28000000000000003</v>
      </c>
      <c r="X51">
        <f t="shared" si="0"/>
        <v>1.28</v>
      </c>
      <c r="Y51">
        <f t="shared" si="1"/>
        <v>0.10720996964786837</v>
      </c>
      <c r="Z51">
        <f t="shared" si="3"/>
        <v>44</v>
      </c>
      <c r="AA51" s="23">
        <f t="shared" si="2"/>
        <v>0.6376811594202898</v>
      </c>
    </row>
    <row r="52" spans="3:27" x14ac:dyDescent="0.35">
      <c r="C52">
        <v>0.16</v>
      </c>
      <c r="E52">
        <v>0.14000000000000001</v>
      </c>
      <c r="I52">
        <v>0.24</v>
      </c>
      <c r="N52">
        <v>0.28000000000000003</v>
      </c>
      <c r="X52">
        <f t="shared" si="0"/>
        <v>1.28</v>
      </c>
      <c r="Y52">
        <f t="shared" si="1"/>
        <v>0.10720996964786837</v>
      </c>
      <c r="Z52">
        <f t="shared" si="3"/>
        <v>45</v>
      </c>
      <c r="AA52" s="23">
        <f t="shared" si="2"/>
        <v>0.65217391304347827</v>
      </c>
    </row>
    <row r="53" spans="3:27" x14ac:dyDescent="0.35">
      <c r="C53">
        <v>0.32</v>
      </c>
      <c r="E53">
        <v>7.0000000000000007E-2</v>
      </c>
      <c r="I53">
        <v>0.28000000000000003</v>
      </c>
      <c r="N53">
        <v>0.28999999999999998</v>
      </c>
      <c r="X53">
        <f t="shared" si="0"/>
        <v>1.29</v>
      </c>
      <c r="Y53">
        <f t="shared" si="1"/>
        <v>0.11058971029924898</v>
      </c>
      <c r="Z53">
        <f t="shared" si="3"/>
        <v>46</v>
      </c>
      <c r="AA53" s="23">
        <f t="shared" si="2"/>
        <v>0.66666666666666663</v>
      </c>
    </row>
    <row r="54" spans="3:27" x14ac:dyDescent="0.35">
      <c r="C54">
        <v>0.28000000000000003</v>
      </c>
      <c r="I54">
        <v>0.18</v>
      </c>
      <c r="N54">
        <v>0.3</v>
      </c>
      <c r="X54">
        <f t="shared" si="0"/>
        <v>1.3</v>
      </c>
      <c r="Y54">
        <f t="shared" si="1"/>
        <v>0.11394335230683679</v>
      </c>
      <c r="Z54">
        <f t="shared" si="3"/>
        <v>47</v>
      </c>
      <c r="AA54" s="23">
        <f t="shared" si="2"/>
        <v>0.6811594202898551</v>
      </c>
    </row>
    <row r="55" spans="3:27" x14ac:dyDescent="0.35">
      <c r="C55">
        <v>0.22</v>
      </c>
      <c r="N55">
        <v>0.3</v>
      </c>
      <c r="X55">
        <f t="shared" si="0"/>
        <v>1.3</v>
      </c>
      <c r="Y55">
        <f t="shared" si="1"/>
        <v>0.11394335230683679</v>
      </c>
      <c r="Z55">
        <f t="shared" si="3"/>
        <v>48</v>
      </c>
      <c r="AA55" s="23">
        <f t="shared" si="2"/>
        <v>0.69565217391304346</v>
      </c>
    </row>
    <row r="56" spans="3:27" x14ac:dyDescent="0.35">
      <c r="N56">
        <v>0.3</v>
      </c>
      <c r="X56">
        <f t="shared" si="0"/>
        <v>1.3</v>
      </c>
      <c r="Y56">
        <f t="shared" si="1"/>
        <v>0.11394335230683679</v>
      </c>
      <c r="Z56">
        <f t="shared" si="3"/>
        <v>49</v>
      </c>
      <c r="AA56" s="23">
        <f t="shared" si="2"/>
        <v>0.71014492753623193</v>
      </c>
    </row>
    <row r="57" spans="3:27" ht="15" x14ac:dyDescent="0.4">
      <c r="C57" s="6">
        <f>SUM(C7:C55)/49</f>
        <v>0.22163265306122451</v>
      </c>
      <c r="E57" s="6">
        <f>SUM(E7:E53)/47</f>
        <v>7.2127659574468095E-2</v>
      </c>
      <c r="I57" s="6">
        <f>SUM(I8:I54)/47</f>
        <v>0.24148936170212756</v>
      </c>
      <c r="N57">
        <v>0.31</v>
      </c>
      <c r="X57">
        <f t="shared" si="0"/>
        <v>1.31</v>
      </c>
      <c r="Y57">
        <f t="shared" si="1"/>
        <v>0.11727129565576427</v>
      </c>
      <c r="Z57">
        <f t="shared" si="3"/>
        <v>50</v>
      </c>
      <c r="AA57" s="23">
        <f t="shared" si="2"/>
        <v>0.72463768115942029</v>
      </c>
    </row>
    <row r="58" spans="3:27" x14ac:dyDescent="0.35">
      <c r="N58">
        <v>0.32</v>
      </c>
      <c r="X58">
        <f t="shared" si="0"/>
        <v>1.32</v>
      </c>
      <c r="Y58">
        <f t="shared" si="1"/>
        <v>0.12057393120584989</v>
      </c>
      <c r="Z58">
        <f t="shared" si="3"/>
        <v>51</v>
      </c>
      <c r="AA58" s="23">
        <f t="shared" si="2"/>
        <v>0.73913043478260865</v>
      </c>
    </row>
    <row r="59" spans="3:27" x14ac:dyDescent="0.35">
      <c r="N59">
        <v>0.32</v>
      </c>
      <c r="X59">
        <f t="shared" si="0"/>
        <v>1.32</v>
      </c>
      <c r="Y59">
        <f t="shared" si="1"/>
        <v>0.12057393120584989</v>
      </c>
      <c r="Z59">
        <f t="shared" si="3"/>
        <v>52</v>
      </c>
      <c r="AA59" s="23">
        <f t="shared" si="2"/>
        <v>0.75362318840579712</v>
      </c>
    </row>
    <row r="60" spans="3:27" x14ac:dyDescent="0.35">
      <c r="N60">
        <v>0.32</v>
      </c>
      <c r="X60">
        <f t="shared" si="0"/>
        <v>1.32</v>
      </c>
      <c r="Y60">
        <f t="shared" si="1"/>
        <v>0.12057393120584989</v>
      </c>
      <c r="Z60">
        <f t="shared" si="3"/>
        <v>53</v>
      </c>
      <c r="AA60" s="23">
        <f t="shared" si="2"/>
        <v>0.76811594202898548</v>
      </c>
    </row>
    <row r="61" spans="3:27" x14ac:dyDescent="0.35">
      <c r="N61">
        <v>0.33</v>
      </c>
      <c r="X61">
        <f t="shared" si="0"/>
        <v>1.33</v>
      </c>
      <c r="Y61">
        <f t="shared" si="1"/>
        <v>0.12385164096708581</v>
      </c>
      <c r="Z61">
        <f t="shared" si="3"/>
        <v>54</v>
      </c>
      <c r="AA61" s="23">
        <f t="shared" si="2"/>
        <v>0.78260869565217395</v>
      </c>
    </row>
    <row r="62" spans="3:27" x14ac:dyDescent="0.35">
      <c r="N62">
        <v>0.34</v>
      </c>
      <c r="X62">
        <f t="shared" si="0"/>
        <v>1.34</v>
      </c>
      <c r="Y62">
        <f t="shared" si="1"/>
        <v>0.12710479836480765</v>
      </c>
      <c r="Z62">
        <f t="shared" si="3"/>
        <v>55</v>
      </c>
      <c r="AA62" s="23">
        <f t="shared" si="2"/>
        <v>0.79710144927536231</v>
      </c>
    </row>
    <row r="63" spans="3:27" x14ac:dyDescent="0.35">
      <c r="N63">
        <v>0.34</v>
      </c>
      <c r="X63">
        <f t="shared" si="0"/>
        <v>1.34</v>
      </c>
      <c r="Y63">
        <f t="shared" si="1"/>
        <v>0.12710479836480765</v>
      </c>
      <c r="Z63">
        <f t="shared" si="3"/>
        <v>56</v>
      </c>
      <c r="AA63" s="23">
        <f t="shared" si="2"/>
        <v>0.81159420289855078</v>
      </c>
    </row>
    <row r="64" spans="3:27" x14ac:dyDescent="0.35">
      <c r="N64">
        <v>0.34</v>
      </c>
      <c r="X64">
        <f t="shared" si="0"/>
        <v>1.34</v>
      </c>
      <c r="Y64">
        <f t="shared" si="1"/>
        <v>0.12710479836480765</v>
      </c>
      <c r="Z64">
        <f t="shared" si="3"/>
        <v>57</v>
      </c>
      <c r="AA64" s="23">
        <f t="shared" si="2"/>
        <v>0.82608695652173914</v>
      </c>
    </row>
    <row r="65" spans="14:27" x14ac:dyDescent="0.35">
      <c r="N65">
        <v>0.35</v>
      </c>
      <c r="X65">
        <f t="shared" si="0"/>
        <v>1.35</v>
      </c>
      <c r="Y65">
        <f t="shared" si="1"/>
        <v>0.13033376849500614</v>
      </c>
      <c r="Z65">
        <f t="shared" si="3"/>
        <v>58</v>
      </c>
      <c r="AA65" s="23">
        <f t="shared" si="2"/>
        <v>0.84057971014492749</v>
      </c>
    </row>
    <row r="66" spans="14:27" x14ac:dyDescent="0.35">
      <c r="N66">
        <v>0.35</v>
      </c>
      <c r="X66">
        <f t="shared" si="0"/>
        <v>1.35</v>
      </c>
      <c r="Y66">
        <f t="shared" si="1"/>
        <v>0.13033376849500614</v>
      </c>
      <c r="Z66">
        <f t="shared" si="3"/>
        <v>59</v>
      </c>
      <c r="AA66" s="23">
        <f t="shared" si="2"/>
        <v>0.85507246376811596</v>
      </c>
    </row>
    <row r="67" spans="14:27" x14ac:dyDescent="0.35">
      <c r="N67">
        <v>0.36</v>
      </c>
      <c r="X67">
        <f t="shared" si="0"/>
        <v>1.3599999999999999</v>
      </c>
      <c r="Y67">
        <f t="shared" si="1"/>
        <v>0.13353890837021748</v>
      </c>
      <c r="Z67">
        <f t="shared" si="3"/>
        <v>60</v>
      </c>
      <c r="AA67" s="23">
        <f t="shared" si="2"/>
        <v>0.86956521739130432</v>
      </c>
    </row>
    <row r="68" spans="14:27" x14ac:dyDescent="0.35">
      <c r="N68">
        <v>0.36</v>
      </c>
      <c r="X68">
        <f t="shared" si="0"/>
        <v>1.3599999999999999</v>
      </c>
      <c r="Y68">
        <f t="shared" si="1"/>
        <v>0.13353890837021748</v>
      </c>
      <c r="Z68">
        <f t="shared" si="3"/>
        <v>61</v>
      </c>
      <c r="AA68" s="23">
        <f t="shared" si="2"/>
        <v>0.88405797101449279</v>
      </c>
    </row>
    <row r="69" spans="14:27" x14ac:dyDescent="0.35">
      <c r="N69">
        <v>0.36</v>
      </c>
      <c r="X69">
        <f t="shared" si="0"/>
        <v>1.3599999999999999</v>
      </c>
      <c r="Y69">
        <f t="shared" si="1"/>
        <v>0.13353890837021748</v>
      </c>
      <c r="Z69">
        <f t="shared" si="3"/>
        <v>62</v>
      </c>
      <c r="AA69" s="23">
        <f t="shared" si="2"/>
        <v>0.89855072463768115</v>
      </c>
    </row>
    <row r="70" spans="14:27" x14ac:dyDescent="0.35">
      <c r="N70">
        <v>0.37</v>
      </c>
      <c r="X70">
        <f t="shared" si="0"/>
        <v>1.37</v>
      </c>
      <c r="Y70">
        <f t="shared" si="1"/>
        <v>0.13672056715640679</v>
      </c>
      <c r="Z70">
        <f t="shared" si="3"/>
        <v>63</v>
      </c>
      <c r="AA70" s="23">
        <f t="shared" si="2"/>
        <v>0.91304347826086951</v>
      </c>
    </row>
    <row r="71" spans="14:27" x14ac:dyDescent="0.35">
      <c r="N71">
        <v>0.37</v>
      </c>
      <c r="X71">
        <f t="shared" si="0"/>
        <v>1.37</v>
      </c>
      <c r="Y71">
        <f t="shared" si="1"/>
        <v>0.13672056715640679</v>
      </c>
      <c r="Z71">
        <f t="shared" si="3"/>
        <v>64</v>
      </c>
      <c r="AA71" s="23">
        <f t="shared" si="2"/>
        <v>0.92753623188405798</v>
      </c>
    </row>
    <row r="72" spans="14:27" x14ac:dyDescent="0.35">
      <c r="N72">
        <v>0.37</v>
      </c>
      <c r="X72">
        <f t="shared" si="0"/>
        <v>1.37</v>
      </c>
      <c r="Y72">
        <f t="shared" si="1"/>
        <v>0.13672056715640679</v>
      </c>
      <c r="Z72">
        <f t="shared" si="3"/>
        <v>65</v>
      </c>
      <c r="AA72" s="23">
        <f t="shared" si="2"/>
        <v>0.94202898550724634</v>
      </c>
    </row>
    <row r="73" spans="14:27" x14ac:dyDescent="0.35">
      <c r="N73">
        <v>0.38</v>
      </c>
      <c r="X73">
        <f t="shared" ref="X73:X76" si="4">1+N73</f>
        <v>1.38</v>
      </c>
      <c r="Y73">
        <f t="shared" ref="Y73:Y76" si="5">LOG10(X73)</f>
        <v>0.13987908640123647</v>
      </c>
      <c r="Z73">
        <f t="shared" si="3"/>
        <v>66</v>
      </c>
      <c r="AA73" s="23">
        <f t="shared" ref="AA73:AA76" si="6">Z73/69</f>
        <v>0.95652173913043481</v>
      </c>
    </row>
    <row r="74" spans="14:27" x14ac:dyDescent="0.35">
      <c r="N74">
        <v>0.39</v>
      </c>
      <c r="X74">
        <f t="shared" si="4"/>
        <v>1.3900000000000001</v>
      </c>
      <c r="Y74">
        <f t="shared" si="5"/>
        <v>0.14301480025409513</v>
      </c>
      <c r="Z74">
        <f t="shared" ref="Z74:Z76" si="7">1+Z73</f>
        <v>67</v>
      </c>
      <c r="AA74" s="23">
        <f t="shared" si="6"/>
        <v>0.97101449275362317</v>
      </c>
    </row>
    <row r="75" spans="14:27" x14ac:dyDescent="0.35">
      <c r="N75">
        <v>0.39</v>
      </c>
      <c r="X75">
        <f t="shared" si="4"/>
        <v>1.3900000000000001</v>
      </c>
      <c r="Y75">
        <f t="shared" si="5"/>
        <v>0.14301480025409513</v>
      </c>
      <c r="Z75">
        <f t="shared" si="7"/>
        <v>68</v>
      </c>
      <c r="AA75" s="23">
        <f t="shared" si="6"/>
        <v>0.98550724637681164</v>
      </c>
    </row>
    <row r="76" spans="14:27" x14ac:dyDescent="0.35">
      <c r="N76">
        <v>0.39</v>
      </c>
      <c r="X76">
        <f t="shared" si="4"/>
        <v>1.3900000000000001</v>
      </c>
      <c r="Y76">
        <f t="shared" si="5"/>
        <v>0.14301480025409513</v>
      </c>
      <c r="Z76">
        <f t="shared" si="7"/>
        <v>69</v>
      </c>
      <c r="AA76" s="23">
        <f t="shared" si="6"/>
        <v>1</v>
      </c>
    </row>
  </sheetData>
  <sortState ref="N8:N76">
    <sortCondition ref="N8:N76"/>
  </sortState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7"/>
  <sheetViews>
    <sheetView topLeftCell="A25" workbookViewId="0">
      <selection activeCell="G70" sqref="G70"/>
    </sheetView>
  </sheetViews>
  <sheetFormatPr defaultRowHeight="12.75" x14ac:dyDescent="0.35"/>
  <cols>
    <col min="1" max="1" width="13.796875" customWidth="1"/>
    <col min="2" max="2" width="11" customWidth="1"/>
    <col min="3" max="3" width="12.796875" customWidth="1"/>
    <col min="33" max="33" width="8.796875" style="22"/>
  </cols>
  <sheetData>
    <row r="1" spans="1:40" x14ac:dyDescent="0.35">
      <c r="A1" t="s">
        <v>0</v>
      </c>
    </row>
    <row r="2" spans="1:40" x14ac:dyDescent="0.35">
      <c r="A2" t="s">
        <v>91</v>
      </c>
    </row>
    <row r="3" spans="1:40" x14ac:dyDescent="0.35">
      <c r="B3" t="s">
        <v>63</v>
      </c>
      <c r="C3" t="s">
        <v>63</v>
      </c>
      <c r="E3" t="s">
        <v>64</v>
      </c>
      <c r="F3" t="s">
        <v>64</v>
      </c>
      <c r="G3" t="s">
        <v>64</v>
      </c>
    </row>
    <row r="4" spans="1:40" x14ac:dyDescent="0.35">
      <c r="A4" t="s">
        <v>4</v>
      </c>
      <c r="B4" s="3" t="s">
        <v>42</v>
      </c>
      <c r="C4" s="3" t="s">
        <v>42</v>
      </c>
      <c r="D4" s="3"/>
      <c r="E4" s="55" t="s">
        <v>436</v>
      </c>
      <c r="F4" s="3" t="s">
        <v>79</v>
      </c>
      <c r="G4" s="3" t="s">
        <v>98</v>
      </c>
      <c r="I4" s="3"/>
      <c r="J4" s="3"/>
      <c r="K4" s="3"/>
      <c r="L4" s="3"/>
      <c r="M4" s="3"/>
      <c r="N4" s="3"/>
      <c r="O4" s="3"/>
      <c r="P4" s="17"/>
      <c r="Q4" s="3"/>
      <c r="R4" s="3"/>
      <c r="S4" s="3"/>
      <c r="T4" s="16"/>
      <c r="W4" s="18" t="s">
        <v>194</v>
      </c>
      <c r="AD4" s="288" t="s">
        <v>279</v>
      </c>
      <c r="AE4" s="288"/>
      <c r="AG4" s="286" t="s">
        <v>365</v>
      </c>
      <c r="AH4" s="286"/>
      <c r="AJ4" s="288" t="s">
        <v>366</v>
      </c>
      <c r="AK4" s="288"/>
    </row>
    <row r="5" spans="1:40" x14ac:dyDescent="0.35">
      <c r="A5" t="s">
        <v>2</v>
      </c>
      <c r="B5">
        <v>463143</v>
      </c>
      <c r="C5">
        <v>463046</v>
      </c>
      <c r="E5">
        <v>483284</v>
      </c>
      <c r="F5">
        <v>461666</v>
      </c>
      <c r="G5">
        <v>528271</v>
      </c>
      <c r="O5" s="16"/>
      <c r="P5" s="3"/>
      <c r="Q5" s="3"/>
      <c r="R5" s="3"/>
      <c r="S5" s="3"/>
      <c r="T5" s="3"/>
    </row>
    <row r="6" spans="1:40" x14ac:dyDescent="0.35">
      <c r="A6" t="s">
        <v>1</v>
      </c>
      <c r="B6">
        <v>5444480</v>
      </c>
      <c r="C6">
        <v>5444961</v>
      </c>
      <c r="E6">
        <v>5453980</v>
      </c>
      <c r="F6">
        <v>5444259</v>
      </c>
      <c r="G6">
        <v>5314119</v>
      </c>
      <c r="O6" s="16"/>
      <c r="P6" s="17" t="s">
        <v>98</v>
      </c>
      <c r="Q6" s="17" t="s">
        <v>192</v>
      </c>
      <c r="R6" s="17" t="s">
        <v>159</v>
      </c>
      <c r="S6" s="17" t="s">
        <v>169</v>
      </c>
      <c r="T6" s="17" t="s">
        <v>34</v>
      </c>
      <c r="U6" s="17" t="s">
        <v>193</v>
      </c>
      <c r="W6" s="34" t="s">
        <v>42</v>
      </c>
      <c r="X6" s="17" t="s">
        <v>192</v>
      </c>
      <c r="Y6" s="17" t="s">
        <v>159</v>
      </c>
      <c r="Z6" s="17" t="s">
        <v>169</v>
      </c>
      <c r="AA6" s="17" t="s">
        <v>34</v>
      </c>
      <c r="AB6" s="17" t="s">
        <v>193</v>
      </c>
      <c r="AD6" s="17" t="s">
        <v>280</v>
      </c>
      <c r="AE6" s="17" t="s">
        <v>34</v>
      </c>
      <c r="AG6" s="17" t="s">
        <v>280</v>
      </c>
      <c r="AH6" s="17" t="s">
        <v>34</v>
      </c>
      <c r="AJ6" s="53" t="s">
        <v>280</v>
      </c>
      <c r="AK6" s="53" t="s">
        <v>34</v>
      </c>
    </row>
    <row r="7" spans="1:40" x14ac:dyDescent="0.35">
      <c r="B7" t="s">
        <v>48</v>
      </c>
      <c r="C7" t="s">
        <v>47</v>
      </c>
      <c r="G7" t="s">
        <v>99</v>
      </c>
      <c r="AD7" s="34" t="s">
        <v>281</v>
      </c>
      <c r="AE7" s="40">
        <f>COUNTIF(W$8:W$68,"&gt;=0.35")-COUNTIF(W$8:W$68,"&gt;0.399")</f>
        <v>0</v>
      </c>
      <c r="AG7" s="34" t="s">
        <v>298</v>
      </c>
      <c r="AH7" s="40">
        <f>COUNTIF(Q$8:Q$70,"&gt;=0")-COUNTIF(Q$8:Q$70,"&gt;9.99")</f>
        <v>1</v>
      </c>
      <c r="AJ7" s="18" t="s">
        <v>314</v>
      </c>
      <c r="AK7" s="40">
        <f>COUNTIF(AN$7:AN$107,"&gt;=0")-COUNTIF(AN$7:AN$107,"&gt;0.49")</f>
        <v>1</v>
      </c>
      <c r="AN7">
        <v>0.32</v>
      </c>
    </row>
    <row r="8" spans="1:40" x14ac:dyDescent="0.35">
      <c r="B8">
        <v>0.73</v>
      </c>
      <c r="C8">
        <v>0.72</v>
      </c>
      <c r="E8">
        <v>3.22</v>
      </c>
      <c r="F8">
        <v>5.48</v>
      </c>
      <c r="G8">
        <v>19.8</v>
      </c>
      <c r="P8">
        <v>19.8</v>
      </c>
      <c r="Q8" s="24">
        <v>35.700000000000003</v>
      </c>
      <c r="R8">
        <f>1+Q8</f>
        <v>36.700000000000003</v>
      </c>
      <c r="S8">
        <f>LOG10(R8)</f>
        <v>1.5646660642520893</v>
      </c>
      <c r="T8">
        <v>1</v>
      </c>
      <c r="U8" s="23">
        <f>T8/63</f>
        <v>1.5873015873015872E-2</v>
      </c>
      <c r="W8">
        <v>0.73</v>
      </c>
      <c r="X8">
        <v>1.1299999999999999</v>
      </c>
      <c r="Y8">
        <f>1+X8</f>
        <v>2.13</v>
      </c>
      <c r="Z8">
        <f>LOG10(Y8)</f>
        <v>0.32837960343873768</v>
      </c>
      <c r="AA8">
        <v>1</v>
      </c>
      <c r="AB8" s="23">
        <f>AA8/61</f>
        <v>1.6393442622950821E-2</v>
      </c>
      <c r="AD8" s="34" t="s">
        <v>282</v>
      </c>
      <c r="AE8" s="40">
        <f>COUNTIF(W$8:W$68,"&gt;=0.4")-COUNTIF(W$8:W$68,"&gt;0.449")</f>
        <v>0</v>
      </c>
      <c r="AG8" s="34" t="s">
        <v>299</v>
      </c>
      <c r="AH8" s="40">
        <f>COUNTIF(Q$8:Q$70,"&gt;=10")-COUNTIF(Q$8:Q$70,"&gt;11.99")</f>
        <v>0</v>
      </c>
      <c r="AJ8" s="18" t="s">
        <v>315</v>
      </c>
      <c r="AK8" s="40">
        <f>COUNTIF(AN$7:AN$107,"&gt;=0.5")-COUNTIF(AN$7:AN$107,"&gt;0.99")</f>
        <v>0</v>
      </c>
      <c r="AN8">
        <v>2.37</v>
      </c>
    </row>
    <row r="9" spans="1:40" x14ac:dyDescent="0.35">
      <c r="B9">
        <v>0.7</v>
      </c>
      <c r="C9">
        <v>0.54</v>
      </c>
      <c r="E9">
        <v>8.65</v>
      </c>
      <c r="F9">
        <v>5.48</v>
      </c>
      <c r="G9">
        <v>20.9</v>
      </c>
      <c r="P9">
        <v>20.9</v>
      </c>
      <c r="Q9" s="24">
        <v>31.5</v>
      </c>
      <c r="R9">
        <f t="shared" ref="R9:R70" si="0">1+Q9</f>
        <v>32.5</v>
      </c>
      <c r="S9">
        <f t="shared" ref="S9:S70" si="1">LOG10(R9)</f>
        <v>1.5118833609788744</v>
      </c>
      <c r="T9">
        <f>1+T8</f>
        <v>2</v>
      </c>
      <c r="U9" s="23">
        <f t="shared" ref="U9:U70" si="2">T9/63</f>
        <v>3.1746031746031744E-2</v>
      </c>
      <c r="W9">
        <v>0.7</v>
      </c>
      <c r="X9">
        <v>1.05</v>
      </c>
      <c r="Y9">
        <f t="shared" ref="Y9:Y68" si="3">1+X9</f>
        <v>2.0499999999999998</v>
      </c>
      <c r="Z9">
        <f t="shared" ref="Z9:Z68" si="4">LOG10(Y9)</f>
        <v>0.31175386105575426</v>
      </c>
      <c r="AA9">
        <f>AA8+1</f>
        <v>2</v>
      </c>
      <c r="AB9" s="23">
        <f t="shared" ref="AB9:AB68" si="5">AA9/61</f>
        <v>3.2786885245901641E-2</v>
      </c>
      <c r="AD9" s="34" t="s">
        <v>283</v>
      </c>
      <c r="AE9" s="40">
        <f>COUNTIF(W$8:W$68,"&gt;=0.45")-COUNTIF(W$8:W$68,"&gt;0.499")</f>
        <v>1</v>
      </c>
      <c r="AG9" s="34" t="s">
        <v>300</v>
      </c>
      <c r="AH9" s="40">
        <f>COUNTIF(Q$8:Q$70,"&gt;=12")-COUNTIF(Q$8:Q$70,"&gt;13.99")</f>
        <v>1</v>
      </c>
      <c r="AJ9" s="18" t="s">
        <v>316</v>
      </c>
      <c r="AK9" s="40">
        <f>COUNTIF(AN$7:AN$107,"&gt;=1.0")-COUNTIF(AN$7:AN$107,"&gt;1.49")</f>
        <v>0</v>
      </c>
      <c r="AN9">
        <v>2.73</v>
      </c>
    </row>
    <row r="10" spans="1:40" x14ac:dyDescent="0.35">
      <c r="B10">
        <v>0.73</v>
      </c>
      <c r="C10">
        <v>0.5</v>
      </c>
      <c r="E10">
        <v>3.31</v>
      </c>
      <c r="F10">
        <v>8.56</v>
      </c>
      <c r="G10">
        <v>16.3</v>
      </c>
      <c r="P10">
        <v>16.3</v>
      </c>
      <c r="Q10" s="24">
        <v>31.5</v>
      </c>
      <c r="R10">
        <f t="shared" si="0"/>
        <v>32.5</v>
      </c>
      <c r="S10">
        <f t="shared" si="1"/>
        <v>1.5118833609788744</v>
      </c>
      <c r="T10">
        <f t="shared" ref="T10:T70" si="6">1+T9</f>
        <v>3</v>
      </c>
      <c r="U10" s="23">
        <f t="shared" si="2"/>
        <v>4.7619047619047616E-2</v>
      </c>
      <c r="W10">
        <v>0.73</v>
      </c>
      <c r="X10">
        <v>0.99</v>
      </c>
      <c r="Y10">
        <f t="shared" si="3"/>
        <v>1.99</v>
      </c>
      <c r="Z10">
        <f t="shared" si="4"/>
        <v>0.29885307640970665</v>
      </c>
      <c r="AA10">
        <f t="shared" ref="AA10:AA68" si="7">AA9+1</f>
        <v>3</v>
      </c>
      <c r="AB10" s="23">
        <f t="shared" si="5"/>
        <v>4.9180327868852458E-2</v>
      </c>
      <c r="AD10" s="34" t="s">
        <v>284</v>
      </c>
      <c r="AE10" s="40">
        <f>COUNTIF(W$8:W$68,"&gt;=0.5")-COUNTIF(W$8:W$68,"&gt;0.549")</f>
        <v>4</v>
      </c>
      <c r="AG10" s="34" t="s">
        <v>301</v>
      </c>
      <c r="AH10" s="40">
        <f>COUNTIF(Q$8:Q$70,"&gt;=14")-COUNTIF(Q$8:Q$70,"&gt;15.99")</f>
        <v>1</v>
      </c>
      <c r="AJ10" s="18" t="s">
        <v>317</v>
      </c>
      <c r="AK10" s="40">
        <f>COUNTIF(AN$7:AN$107,"&gt;=1.50")-COUNTIF(AN$7:AN$107,"&gt;1.99")</f>
        <v>0</v>
      </c>
      <c r="AN10">
        <v>3.22</v>
      </c>
    </row>
    <row r="11" spans="1:40" x14ac:dyDescent="0.35">
      <c r="B11">
        <v>0.67</v>
      </c>
      <c r="C11">
        <v>0.87</v>
      </c>
      <c r="E11">
        <v>3.49</v>
      </c>
      <c r="F11">
        <v>4.8499999999999996</v>
      </c>
      <c r="G11">
        <v>16.899999999999999</v>
      </c>
      <c r="P11">
        <v>16.899999999999999</v>
      </c>
      <c r="Q11" s="24">
        <v>31.2</v>
      </c>
      <c r="R11">
        <f t="shared" si="0"/>
        <v>32.200000000000003</v>
      </c>
      <c r="S11">
        <f t="shared" si="1"/>
        <v>1.507855871695831</v>
      </c>
      <c r="T11">
        <f t="shared" si="6"/>
        <v>4</v>
      </c>
      <c r="U11" s="23">
        <f t="shared" si="2"/>
        <v>6.3492063492063489E-2</v>
      </c>
      <c r="W11">
        <v>0.67</v>
      </c>
      <c r="X11" s="29">
        <v>0.88</v>
      </c>
      <c r="Y11">
        <f t="shared" si="3"/>
        <v>1.88</v>
      </c>
      <c r="Z11">
        <f t="shared" si="4"/>
        <v>0.27415784926367981</v>
      </c>
      <c r="AA11">
        <f t="shared" si="7"/>
        <v>4</v>
      </c>
      <c r="AB11" s="23">
        <f t="shared" si="5"/>
        <v>6.5573770491803282E-2</v>
      </c>
      <c r="AD11" s="34" t="s">
        <v>285</v>
      </c>
      <c r="AE11" s="40">
        <f>COUNTIF(W$8:W$68,"&gt;=0.55")-COUNTIF(W$8:W$68,"&gt;0.599")</f>
        <v>1</v>
      </c>
      <c r="AG11" s="34" t="s">
        <v>302</v>
      </c>
      <c r="AH11" s="40">
        <f>COUNTIF(Q$8:Q$70,"&gt;=16")-COUNTIF(Q$8:Q$70,"&gt;17.99")</f>
        <v>12</v>
      </c>
      <c r="AJ11" s="18" t="s">
        <v>318</v>
      </c>
      <c r="AK11" s="40">
        <f>COUNTIF(AN$7:AN$107,"&gt;=2.0")-COUNTIF(AN$7:AN$107,"&gt;2.49")</f>
        <v>1</v>
      </c>
      <c r="AN11">
        <v>3.31</v>
      </c>
    </row>
    <row r="12" spans="1:40" x14ac:dyDescent="0.35">
      <c r="B12">
        <v>0.69</v>
      </c>
      <c r="C12">
        <v>0.68</v>
      </c>
      <c r="E12">
        <v>4.54</v>
      </c>
      <c r="F12">
        <v>4.8600000000000003</v>
      </c>
      <c r="G12">
        <v>22.9</v>
      </c>
      <c r="P12">
        <v>22.9</v>
      </c>
      <c r="Q12" s="24">
        <v>30.5</v>
      </c>
      <c r="R12">
        <f t="shared" si="0"/>
        <v>31.5</v>
      </c>
      <c r="S12">
        <f t="shared" si="1"/>
        <v>1.4983105537896004</v>
      </c>
      <c r="T12">
        <f t="shared" si="6"/>
        <v>5</v>
      </c>
      <c r="U12" s="23">
        <f t="shared" si="2"/>
        <v>7.9365079365079361E-2</v>
      </c>
      <c r="W12">
        <v>0.69</v>
      </c>
      <c r="X12" s="29">
        <v>0.87</v>
      </c>
      <c r="Y12">
        <f t="shared" si="3"/>
        <v>1.87</v>
      </c>
      <c r="Z12">
        <f t="shared" si="4"/>
        <v>0.27184160653649897</v>
      </c>
      <c r="AA12">
        <f t="shared" si="7"/>
        <v>5</v>
      </c>
      <c r="AB12" s="23">
        <f t="shared" si="5"/>
        <v>8.1967213114754092E-2</v>
      </c>
      <c r="AD12" s="34" t="s">
        <v>286</v>
      </c>
      <c r="AE12" s="40">
        <f>COUNTIF(W$8:W$68,"&gt;=0.6")-COUNTIF(W$8:W$68,"&gt;0.649")</f>
        <v>5</v>
      </c>
      <c r="AG12" s="34" t="s">
        <v>303</v>
      </c>
      <c r="AH12" s="40">
        <f>COUNTIF(Q$8:Q$70,"&gt;=18")-COUNTIF(Q$8:Q$70,"&gt;19.99")</f>
        <v>8</v>
      </c>
      <c r="AJ12" s="18" t="s">
        <v>319</v>
      </c>
      <c r="AK12" s="40">
        <f>COUNTIF(AN$7:AN$107,"&gt;=2.50")-COUNTIF(AN$7:AN$107,"&gt;2.99")</f>
        <v>1</v>
      </c>
      <c r="AN12">
        <v>3.34</v>
      </c>
    </row>
    <row r="13" spans="1:40" x14ac:dyDescent="0.35">
      <c r="B13">
        <v>0.78</v>
      </c>
      <c r="C13">
        <v>0.66</v>
      </c>
      <c r="E13">
        <v>3.34</v>
      </c>
      <c r="F13">
        <v>6.8</v>
      </c>
      <c r="G13">
        <v>19</v>
      </c>
      <c r="P13">
        <v>19</v>
      </c>
      <c r="Q13" s="24">
        <v>29.3</v>
      </c>
      <c r="R13">
        <f t="shared" si="0"/>
        <v>30.3</v>
      </c>
      <c r="S13">
        <f t="shared" si="1"/>
        <v>1.481442628502305</v>
      </c>
      <c r="T13">
        <f t="shared" si="6"/>
        <v>6</v>
      </c>
      <c r="U13" s="23">
        <f t="shared" si="2"/>
        <v>9.5238095238095233E-2</v>
      </c>
      <c r="W13">
        <v>0.78</v>
      </c>
      <c r="X13" s="29">
        <v>0.85</v>
      </c>
      <c r="Y13">
        <f t="shared" si="3"/>
        <v>1.85</v>
      </c>
      <c r="Z13">
        <f t="shared" si="4"/>
        <v>0.26717172840301384</v>
      </c>
      <c r="AA13">
        <f t="shared" si="7"/>
        <v>6</v>
      </c>
      <c r="AB13" s="23">
        <f t="shared" si="5"/>
        <v>9.8360655737704916E-2</v>
      </c>
      <c r="AD13" s="34" t="s">
        <v>287</v>
      </c>
      <c r="AE13" s="40">
        <f>COUNTIF(W$8:W$68,"&gt;=0.65")-COUNTIF(W$8:W$68,"&gt;0.699")</f>
        <v>7</v>
      </c>
      <c r="AG13" s="34" t="s">
        <v>304</v>
      </c>
      <c r="AH13" s="40">
        <f>COUNTIF(Q$8:Q$70,"&gt;=20")-COUNTIF(Q$8:Q$70,"&gt;21.99")</f>
        <v>11</v>
      </c>
      <c r="AJ13" s="18" t="s">
        <v>387</v>
      </c>
      <c r="AK13" s="40">
        <f>COUNTIF(AN$7:AN$107,"&gt;=3.0")-COUNTIF(AN$7:AN$107,"&gt;3.499")</f>
        <v>5</v>
      </c>
      <c r="AN13">
        <v>3.46</v>
      </c>
    </row>
    <row r="14" spans="1:40" x14ac:dyDescent="0.35">
      <c r="B14">
        <v>0.5</v>
      </c>
      <c r="C14">
        <v>0.78</v>
      </c>
      <c r="E14">
        <v>6.82</v>
      </c>
      <c r="F14">
        <v>9.69</v>
      </c>
      <c r="G14">
        <v>22.4</v>
      </c>
      <c r="P14">
        <v>22.4</v>
      </c>
      <c r="Q14" s="24">
        <v>28.9</v>
      </c>
      <c r="R14">
        <f t="shared" si="0"/>
        <v>29.9</v>
      </c>
      <c r="S14">
        <f t="shared" si="1"/>
        <v>1.4756711883244296</v>
      </c>
      <c r="T14">
        <f t="shared" si="6"/>
        <v>7</v>
      </c>
      <c r="U14" s="23">
        <f t="shared" si="2"/>
        <v>0.1111111111111111</v>
      </c>
      <c r="W14">
        <v>0.5</v>
      </c>
      <c r="X14" s="29">
        <v>0.8</v>
      </c>
      <c r="Y14">
        <f t="shared" si="3"/>
        <v>1.8</v>
      </c>
      <c r="Z14">
        <f t="shared" si="4"/>
        <v>0.25527250510330607</v>
      </c>
      <c r="AA14">
        <f t="shared" si="7"/>
        <v>7</v>
      </c>
      <c r="AB14" s="23">
        <f t="shared" si="5"/>
        <v>0.11475409836065574</v>
      </c>
      <c r="AD14" s="34" t="s">
        <v>288</v>
      </c>
      <c r="AE14" s="40">
        <f>COUNTIF(W$8:W$68,"&gt;=0.7")-COUNTIF(W$8:W$68,"&gt;0.749")</f>
        <v>26</v>
      </c>
      <c r="AG14" s="34" t="s">
        <v>305</v>
      </c>
      <c r="AH14" s="40">
        <f>COUNTIF(Q$8:Q$70,"&gt;=22")-COUNTIF(Q$8:Q$70,"&gt;23.99")</f>
        <v>7</v>
      </c>
      <c r="AJ14" s="18" t="s">
        <v>367</v>
      </c>
      <c r="AK14" s="40">
        <f>COUNTIF(AN$7:AN$107,"&gt;=3.5")-COUNTIF(AN$7:AN$107,"&gt;3.999")</f>
        <v>1</v>
      </c>
      <c r="AN14">
        <v>3.49</v>
      </c>
    </row>
    <row r="15" spans="1:40" x14ac:dyDescent="0.35">
      <c r="B15">
        <v>0.76</v>
      </c>
      <c r="C15">
        <v>0.8</v>
      </c>
      <c r="E15">
        <v>7.72</v>
      </c>
      <c r="F15">
        <v>4.6900000000000004</v>
      </c>
      <c r="G15">
        <v>24.8</v>
      </c>
      <c r="P15">
        <v>24.8</v>
      </c>
      <c r="Q15" s="24">
        <v>28.3</v>
      </c>
      <c r="R15">
        <f t="shared" si="0"/>
        <v>29.3</v>
      </c>
      <c r="S15">
        <f t="shared" si="1"/>
        <v>1.4668676203541096</v>
      </c>
      <c r="T15">
        <f t="shared" si="6"/>
        <v>8</v>
      </c>
      <c r="U15" s="23">
        <f t="shared" si="2"/>
        <v>0.12698412698412698</v>
      </c>
      <c r="W15">
        <v>0.76</v>
      </c>
      <c r="X15" s="29">
        <v>0.79</v>
      </c>
      <c r="Y15">
        <f t="shared" si="3"/>
        <v>1.79</v>
      </c>
      <c r="Z15">
        <f t="shared" si="4"/>
        <v>0.2528530309798932</v>
      </c>
      <c r="AA15">
        <f t="shared" si="7"/>
        <v>8</v>
      </c>
      <c r="AB15" s="23">
        <f t="shared" si="5"/>
        <v>0.13114754098360656</v>
      </c>
      <c r="AD15" s="34" t="s">
        <v>289</v>
      </c>
      <c r="AE15" s="40">
        <f>COUNTIF(W$8:W$68,"&gt;=0.75")-COUNTIF(W$8:W$68,"&gt;0.799")</f>
        <v>10</v>
      </c>
      <c r="AG15" s="34" t="s">
        <v>306</v>
      </c>
      <c r="AH15" s="40">
        <f>COUNTIF(Q$8:Q$70,"&gt;=24")-COUNTIF(Q$8:Q$70,"&gt;25.99")</f>
        <v>6</v>
      </c>
      <c r="AJ15" s="18" t="s">
        <v>368</v>
      </c>
      <c r="AK15" s="40">
        <f>COUNTIF(AN$7:AN$107,"&gt;=4.0")-COUNTIF(AN$7:AN$107,"&gt;4.499")</f>
        <v>2</v>
      </c>
      <c r="AN15">
        <v>3.53</v>
      </c>
    </row>
    <row r="16" spans="1:40" x14ac:dyDescent="0.35">
      <c r="B16">
        <v>0.73</v>
      </c>
      <c r="C16">
        <v>0.79</v>
      </c>
      <c r="E16">
        <v>4.4400000000000004</v>
      </c>
      <c r="F16">
        <v>5.42</v>
      </c>
      <c r="G16">
        <v>17</v>
      </c>
      <c r="P16">
        <v>17</v>
      </c>
      <c r="Q16" s="24">
        <v>28.1</v>
      </c>
      <c r="R16">
        <f t="shared" si="0"/>
        <v>29.1</v>
      </c>
      <c r="S16">
        <f t="shared" si="1"/>
        <v>1.4638929889859074</v>
      </c>
      <c r="T16">
        <f t="shared" si="6"/>
        <v>9</v>
      </c>
      <c r="U16" s="23">
        <f t="shared" si="2"/>
        <v>0.14285714285714285</v>
      </c>
      <c r="W16">
        <v>0.73</v>
      </c>
      <c r="X16" s="29">
        <v>0.78</v>
      </c>
      <c r="Y16">
        <f t="shared" si="3"/>
        <v>1.78</v>
      </c>
      <c r="Z16">
        <f t="shared" si="4"/>
        <v>0.250420002308894</v>
      </c>
      <c r="AA16">
        <f t="shared" si="7"/>
        <v>9</v>
      </c>
      <c r="AB16" s="23">
        <f t="shared" si="5"/>
        <v>0.14754098360655737</v>
      </c>
      <c r="AD16" s="34" t="s">
        <v>297</v>
      </c>
      <c r="AE16" s="40">
        <f>COUNTIF(W$8:W$68,"&gt;=0.8")-COUNTIF(W$8:W$68,"&gt;0.849")</f>
        <v>1</v>
      </c>
      <c r="AG16" s="34" t="s">
        <v>307</v>
      </c>
      <c r="AH16" s="40">
        <f>COUNTIF(Q$8:Q$70,"&gt;=26")-COUNTIF(Q$8:Q$70,"&gt;27.99")</f>
        <v>7</v>
      </c>
      <c r="AJ16" s="18" t="s">
        <v>369</v>
      </c>
      <c r="AK16" s="40">
        <f>COUNTIF(AN$7:AN$107,"&gt;=4.5")-COUNTIF(AN$7:AN$107,"&gt;4.999")</f>
        <v>7</v>
      </c>
      <c r="AN16">
        <v>4.03</v>
      </c>
    </row>
    <row r="17" spans="2:40" x14ac:dyDescent="0.35">
      <c r="B17">
        <v>0.73</v>
      </c>
      <c r="C17">
        <v>0.61</v>
      </c>
      <c r="E17">
        <v>5.72</v>
      </c>
      <c r="F17">
        <v>11.5</v>
      </c>
      <c r="G17">
        <v>18.3</v>
      </c>
      <c r="P17">
        <v>18.3</v>
      </c>
      <c r="Q17" s="24">
        <v>27.6</v>
      </c>
      <c r="R17">
        <f t="shared" si="0"/>
        <v>28.6</v>
      </c>
      <c r="S17">
        <f t="shared" si="1"/>
        <v>1.4563660331290431</v>
      </c>
      <c r="T17">
        <f t="shared" si="6"/>
        <v>10</v>
      </c>
      <c r="U17" s="23">
        <f t="shared" si="2"/>
        <v>0.15873015873015872</v>
      </c>
      <c r="W17">
        <v>0.73</v>
      </c>
      <c r="X17" s="29">
        <v>0.78</v>
      </c>
      <c r="Y17">
        <f t="shared" si="3"/>
        <v>1.78</v>
      </c>
      <c r="Z17">
        <f t="shared" si="4"/>
        <v>0.250420002308894</v>
      </c>
      <c r="AA17">
        <f t="shared" si="7"/>
        <v>10</v>
      </c>
      <c r="AB17" s="23">
        <f t="shared" si="5"/>
        <v>0.16393442622950818</v>
      </c>
      <c r="AD17" s="34" t="s">
        <v>290</v>
      </c>
      <c r="AE17" s="40">
        <f>COUNTIF(W$8:W$68,"&gt;=0.85")-COUNTIF(W$8:W$68,"&gt;0.899")</f>
        <v>3</v>
      </c>
      <c r="AG17" s="34" t="s">
        <v>308</v>
      </c>
      <c r="AH17" s="40">
        <f>COUNTIF(Q$8:Q$70,"&gt;=28")-COUNTIF(Q$8:Q$70,"&gt;29.99")</f>
        <v>4</v>
      </c>
      <c r="AJ17" s="18" t="s">
        <v>370</v>
      </c>
      <c r="AK17" s="40">
        <f>COUNTIF(AN$7:AN$107,"&gt;=5.0")-COUNTIF(AN$7:AN$107,"&gt;5.499")</f>
        <v>10</v>
      </c>
      <c r="AN17">
        <v>4.4400000000000004</v>
      </c>
    </row>
    <row r="18" spans="2:40" x14ac:dyDescent="0.35">
      <c r="B18">
        <v>0.61</v>
      </c>
      <c r="C18">
        <v>0.75</v>
      </c>
      <c r="E18">
        <v>5.78</v>
      </c>
      <c r="F18">
        <v>7.21</v>
      </c>
      <c r="G18">
        <v>21.1</v>
      </c>
      <c r="P18">
        <v>21.1</v>
      </c>
      <c r="Q18" s="24">
        <v>26.8</v>
      </c>
      <c r="R18">
        <f t="shared" si="0"/>
        <v>27.8</v>
      </c>
      <c r="S18">
        <f t="shared" si="1"/>
        <v>1.4440447959180762</v>
      </c>
      <c r="T18">
        <f t="shared" si="6"/>
        <v>11</v>
      </c>
      <c r="U18" s="23">
        <f t="shared" si="2"/>
        <v>0.17460317460317459</v>
      </c>
      <c r="W18">
        <v>0.61</v>
      </c>
      <c r="X18" s="29">
        <v>0.78</v>
      </c>
      <c r="Y18">
        <f t="shared" si="3"/>
        <v>1.78</v>
      </c>
      <c r="Z18">
        <f t="shared" si="4"/>
        <v>0.250420002308894</v>
      </c>
      <c r="AA18">
        <f t="shared" si="7"/>
        <v>11</v>
      </c>
      <c r="AB18" s="23">
        <f t="shared" si="5"/>
        <v>0.18032786885245902</v>
      </c>
      <c r="AD18" s="34" t="s">
        <v>291</v>
      </c>
      <c r="AE18" s="40">
        <f>COUNTIF(W$8:W$68,"&gt;=0.9")-COUNTIF(W$8:W$68,"&gt;0.949")</f>
        <v>0</v>
      </c>
      <c r="AG18" s="34" t="s">
        <v>309</v>
      </c>
      <c r="AH18" s="40">
        <f>COUNTIF(Q$8:Q$70,"&gt;=30")-COUNTIF(Q$8:Q$70,"&gt;31.99")</f>
        <v>4</v>
      </c>
      <c r="AJ18" s="18" t="s">
        <v>371</v>
      </c>
      <c r="AK18" s="40">
        <f>COUNTIF(AN$7:AN$107,"&gt;=5.5")-COUNTIF(AN$7:AN$107,"&gt;5.999")</f>
        <v>10</v>
      </c>
      <c r="AN18">
        <v>4.54</v>
      </c>
    </row>
    <row r="19" spans="2:40" x14ac:dyDescent="0.35">
      <c r="B19">
        <v>0.7</v>
      </c>
      <c r="C19">
        <v>0.64</v>
      </c>
      <c r="E19">
        <v>7.79</v>
      </c>
      <c r="F19">
        <v>7.31</v>
      </c>
      <c r="G19">
        <v>21.2</v>
      </c>
      <c r="P19">
        <v>21.2</v>
      </c>
      <c r="Q19" s="24">
        <v>26.7</v>
      </c>
      <c r="R19">
        <f t="shared" si="0"/>
        <v>27.7</v>
      </c>
      <c r="S19">
        <f t="shared" si="1"/>
        <v>1.4424797690644486</v>
      </c>
      <c r="T19">
        <f t="shared" si="6"/>
        <v>12</v>
      </c>
      <c r="U19" s="23">
        <f t="shared" si="2"/>
        <v>0.19047619047619047</v>
      </c>
      <c r="W19">
        <v>0.7</v>
      </c>
      <c r="X19" s="29">
        <v>0.77</v>
      </c>
      <c r="Y19">
        <f t="shared" si="3"/>
        <v>1.77</v>
      </c>
      <c r="Z19">
        <f t="shared" si="4"/>
        <v>0.24797326636180664</v>
      </c>
      <c r="AA19">
        <f t="shared" si="7"/>
        <v>12</v>
      </c>
      <c r="AB19" s="23">
        <f t="shared" si="5"/>
        <v>0.19672131147540983</v>
      </c>
      <c r="AD19" s="34" t="s">
        <v>292</v>
      </c>
      <c r="AE19" s="40">
        <f>COUNTIF(W$8:W$68,"&gt;=0.95")-COUNTIF(W$8:W$68,"&gt;0.999")</f>
        <v>1</v>
      </c>
      <c r="AG19" s="34" t="s">
        <v>310</v>
      </c>
      <c r="AH19" s="40">
        <f>COUNTIF(Q$8:Q$70,"&gt;=32")-COUNTIF(Q$8:Q$70,"&gt;33.99")</f>
        <v>0</v>
      </c>
      <c r="AJ19" s="18" t="s">
        <v>372</v>
      </c>
      <c r="AK19" s="40">
        <f>COUNTIF(AN$7:AN$107,"&gt;=6.0")-COUNTIF(AN$7:AN$107,"&gt;6.499")</f>
        <v>19</v>
      </c>
      <c r="AN19">
        <v>4.55</v>
      </c>
    </row>
    <row r="20" spans="2:40" x14ac:dyDescent="0.35">
      <c r="B20">
        <v>0.72</v>
      </c>
      <c r="C20">
        <v>0.46</v>
      </c>
      <c r="E20">
        <v>6.38</v>
      </c>
      <c r="F20">
        <v>6.02</v>
      </c>
      <c r="G20">
        <v>0.22</v>
      </c>
      <c r="P20">
        <v>0.22</v>
      </c>
      <c r="Q20" s="24">
        <v>26.6</v>
      </c>
      <c r="R20">
        <f t="shared" si="0"/>
        <v>27.6</v>
      </c>
      <c r="S20">
        <f t="shared" si="1"/>
        <v>1.4409090820652177</v>
      </c>
      <c r="T20">
        <f t="shared" si="6"/>
        <v>13</v>
      </c>
      <c r="U20" s="23">
        <f t="shared" si="2"/>
        <v>0.20634920634920634</v>
      </c>
      <c r="W20">
        <v>0.72</v>
      </c>
      <c r="X20" s="29">
        <v>0.77</v>
      </c>
      <c r="Y20">
        <f t="shared" si="3"/>
        <v>1.77</v>
      </c>
      <c r="Z20">
        <f t="shared" si="4"/>
        <v>0.24797326636180664</v>
      </c>
      <c r="AA20">
        <f t="shared" si="7"/>
        <v>13</v>
      </c>
      <c r="AB20" s="23">
        <f t="shared" si="5"/>
        <v>0.21311475409836064</v>
      </c>
      <c r="AD20" s="34" t="s">
        <v>293</v>
      </c>
      <c r="AE20" s="40">
        <f>COUNTIF(W$8:W$68,"&gt;=1")-COUNTIF(W$8:W$68,"&gt;1.049")</f>
        <v>0</v>
      </c>
      <c r="AG20" s="34" t="s">
        <v>311</v>
      </c>
      <c r="AH20" s="40">
        <f>COUNTIF(Q$8:Q$70,"&gt;=34")-COUNTIF(Q$8:Q$70,"&gt;35.99")</f>
        <v>1</v>
      </c>
      <c r="AJ20" s="18" t="s">
        <v>373</v>
      </c>
      <c r="AK20" s="40">
        <f>COUNTIF(AN$7:AN$107,"&gt;=6.5")-COUNTIF(AN$7:AN$107,"&gt;6.999")</f>
        <v>12</v>
      </c>
      <c r="AN20">
        <v>4.6900000000000004</v>
      </c>
    </row>
    <row r="21" spans="2:40" x14ac:dyDescent="0.35">
      <c r="B21">
        <v>0.74</v>
      </c>
      <c r="C21">
        <v>0.74</v>
      </c>
      <c r="E21">
        <v>4.8499999999999996</v>
      </c>
      <c r="F21">
        <v>6.43</v>
      </c>
      <c r="G21">
        <v>17.5</v>
      </c>
      <c r="P21">
        <v>17.5</v>
      </c>
      <c r="Q21" s="24">
        <v>26.5</v>
      </c>
      <c r="R21">
        <f t="shared" si="0"/>
        <v>27.5</v>
      </c>
      <c r="S21">
        <f t="shared" si="1"/>
        <v>1.4393326938302626</v>
      </c>
      <c r="T21">
        <f t="shared" si="6"/>
        <v>14</v>
      </c>
      <c r="U21" s="23">
        <f t="shared" si="2"/>
        <v>0.22222222222222221</v>
      </c>
      <c r="W21">
        <v>0.74</v>
      </c>
      <c r="X21" s="29">
        <v>0.76</v>
      </c>
      <c r="Y21">
        <f t="shared" si="3"/>
        <v>1.76</v>
      </c>
      <c r="Z21">
        <f t="shared" si="4"/>
        <v>0.24551266781414982</v>
      </c>
      <c r="AA21">
        <f t="shared" si="7"/>
        <v>14</v>
      </c>
      <c r="AB21" s="23">
        <f t="shared" si="5"/>
        <v>0.22950819672131148</v>
      </c>
      <c r="AD21" s="34" t="s">
        <v>294</v>
      </c>
      <c r="AE21" s="40">
        <f>COUNTIF(W$8:W$68,"&gt;=1.05")-COUNTIF(W$8:W$68,"&gt;1.099")</f>
        <v>1</v>
      </c>
      <c r="AG21" s="34" t="s">
        <v>312</v>
      </c>
      <c r="AH21" s="40">
        <f>COUNTIF(Q$8:Q$70,"&gt;=36")</f>
        <v>0</v>
      </c>
      <c r="AJ21" s="18" t="s">
        <v>374</v>
      </c>
      <c r="AK21" s="40">
        <f>COUNTIF(AN$7:AN$107,"&gt;=7.0")-COUNTIF(AN$7:AN$107,"&gt;7.499")</f>
        <v>10</v>
      </c>
      <c r="AN21">
        <v>4.8499999999999996</v>
      </c>
    </row>
    <row r="22" spans="2:40" x14ac:dyDescent="0.35">
      <c r="B22">
        <v>0.69</v>
      </c>
      <c r="C22">
        <v>0.85</v>
      </c>
      <c r="E22">
        <v>2.73</v>
      </c>
      <c r="F22">
        <v>6.6</v>
      </c>
      <c r="G22">
        <v>20.100000000000001</v>
      </c>
      <c r="P22">
        <v>20.100000000000001</v>
      </c>
      <c r="Q22" s="24">
        <v>26.4</v>
      </c>
      <c r="R22">
        <f t="shared" si="0"/>
        <v>27.4</v>
      </c>
      <c r="S22">
        <f t="shared" si="1"/>
        <v>1.4377505628203879</v>
      </c>
      <c r="T22">
        <f t="shared" si="6"/>
        <v>15</v>
      </c>
      <c r="U22" s="23">
        <f t="shared" si="2"/>
        <v>0.23809523809523808</v>
      </c>
      <c r="W22">
        <v>0.69</v>
      </c>
      <c r="X22" s="29">
        <v>0.76</v>
      </c>
      <c r="Y22">
        <f t="shared" si="3"/>
        <v>1.76</v>
      </c>
      <c r="Z22">
        <f t="shared" si="4"/>
        <v>0.24551266781414982</v>
      </c>
      <c r="AA22">
        <f t="shared" si="7"/>
        <v>15</v>
      </c>
      <c r="AB22" s="23">
        <f t="shared" si="5"/>
        <v>0.24590163934426229</v>
      </c>
      <c r="AD22" s="34" t="s">
        <v>295</v>
      </c>
      <c r="AE22" s="40">
        <f>COUNTIF(W$8:W$68,"&gt;=1.1")-COUNTIF(W$8:W$68,"&gt;1.149")</f>
        <v>1</v>
      </c>
      <c r="AJ22" s="18" t="s">
        <v>375</v>
      </c>
      <c r="AK22" s="40">
        <f>COUNTIF(AN$7:AN$107,"&gt;=7.5")-COUNTIF(AN$7:AN$107,"&gt;7.999")</f>
        <v>5</v>
      </c>
      <c r="AN22">
        <v>4.8499999999999996</v>
      </c>
    </row>
    <row r="23" spans="2:40" x14ac:dyDescent="0.35">
      <c r="B23">
        <v>0.77</v>
      </c>
      <c r="C23">
        <v>0.71</v>
      </c>
      <c r="E23">
        <v>0.32</v>
      </c>
      <c r="F23">
        <v>6.25</v>
      </c>
      <c r="G23">
        <v>19.5</v>
      </c>
      <c r="P23">
        <v>19.5</v>
      </c>
      <c r="Q23" s="24">
        <v>26.3</v>
      </c>
      <c r="R23">
        <f t="shared" si="0"/>
        <v>27.3</v>
      </c>
      <c r="S23">
        <f t="shared" si="1"/>
        <v>1.436162647040756</v>
      </c>
      <c r="T23">
        <f t="shared" si="6"/>
        <v>16</v>
      </c>
      <c r="U23" s="23">
        <f t="shared" si="2"/>
        <v>0.25396825396825395</v>
      </c>
      <c r="W23">
        <v>0.77</v>
      </c>
      <c r="X23" s="29">
        <v>0.75</v>
      </c>
      <c r="Y23">
        <f t="shared" si="3"/>
        <v>1.75</v>
      </c>
      <c r="Z23">
        <f t="shared" si="4"/>
        <v>0.24303804868629444</v>
      </c>
      <c r="AA23">
        <f t="shared" si="7"/>
        <v>16</v>
      </c>
      <c r="AB23" s="23">
        <f t="shared" si="5"/>
        <v>0.26229508196721313</v>
      </c>
      <c r="AD23" s="34" t="s">
        <v>296</v>
      </c>
      <c r="AE23" s="40">
        <f>COUNTIF(W$8:W$68,"&gt;=1.15")</f>
        <v>0</v>
      </c>
      <c r="AJ23" s="18" t="s">
        <v>376</v>
      </c>
      <c r="AK23" s="40">
        <f>COUNTIF(AN$7:AN$107,"&gt;=8.0")-COUNTIF(AN$7:AN$107,"&gt;8.499")</f>
        <v>5</v>
      </c>
      <c r="AN23">
        <v>4.8600000000000003</v>
      </c>
    </row>
    <row r="24" spans="2:40" x14ac:dyDescent="0.35">
      <c r="B24">
        <v>0.7</v>
      </c>
      <c r="C24">
        <v>0.7</v>
      </c>
      <c r="E24">
        <v>4.03</v>
      </c>
      <c r="F24">
        <v>6.41</v>
      </c>
      <c r="G24">
        <v>20</v>
      </c>
      <c r="I24" s="18" t="s">
        <v>195</v>
      </c>
      <c r="P24">
        <v>20</v>
      </c>
      <c r="Q24" s="24">
        <v>25.8</v>
      </c>
      <c r="R24">
        <f t="shared" si="0"/>
        <v>26.8</v>
      </c>
      <c r="S24">
        <f t="shared" si="1"/>
        <v>1.4281347940287887</v>
      </c>
      <c r="T24">
        <f t="shared" si="6"/>
        <v>17</v>
      </c>
      <c r="U24" s="23">
        <f t="shared" si="2"/>
        <v>0.26984126984126983</v>
      </c>
      <c r="W24">
        <v>0.7</v>
      </c>
      <c r="X24" s="29">
        <v>0.75</v>
      </c>
      <c r="Y24">
        <f t="shared" si="3"/>
        <v>1.75</v>
      </c>
      <c r="Z24">
        <f t="shared" si="4"/>
        <v>0.24303804868629444</v>
      </c>
      <c r="AA24">
        <f t="shared" si="7"/>
        <v>17</v>
      </c>
      <c r="AB24" s="23">
        <f t="shared" si="5"/>
        <v>0.27868852459016391</v>
      </c>
      <c r="AD24" s="22"/>
      <c r="AJ24" s="18" t="s">
        <v>377</v>
      </c>
      <c r="AK24" s="40">
        <f>COUNTIF(AN$7:AN$107,"&gt;=8.5")-COUNTIF(AN$7:AN$107,"&gt;8.999")</f>
        <v>3</v>
      </c>
      <c r="AN24">
        <v>4.99</v>
      </c>
    </row>
    <row r="25" spans="2:40" x14ac:dyDescent="0.35">
      <c r="B25">
        <v>0.74</v>
      </c>
      <c r="C25">
        <v>0.72</v>
      </c>
      <c r="E25">
        <v>6.31</v>
      </c>
      <c r="F25">
        <v>6.14</v>
      </c>
      <c r="G25">
        <v>20.8</v>
      </c>
      <c r="P25">
        <v>20.8</v>
      </c>
      <c r="Q25" s="24">
        <v>25.4</v>
      </c>
      <c r="R25">
        <f t="shared" si="0"/>
        <v>26.4</v>
      </c>
      <c r="S25">
        <f t="shared" si="1"/>
        <v>1.4216039268698311</v>
      </c>
      <c r="T25">
        <f t="shared" si="6"/>
        <v>18</v>
      </c>
      <c r="U25" s="23">
        <f t="shared" si="2"/>
        <v>0.2857142857142857</v>
      </c>
      <c r="W25">
        <v>0.74</v>
      </c>
      <c r="X25" s="29">
        <v>0.74</v>
      </c>
      <c r="Y25">
        <f t="shared" si="3"/>
        <v>1.74</v>
      </c>
      <c r="Z25">
        <f t="shared" si="4"/>
        <v>0.24054924828259971</v>
      </c>
      <c r="AA25">
        <f t="shared" si="7"/>
        <v>18</v>
      </c>
      <c r="AB25" s="23">
        <f t="shared" si="5"/>
        <v>0.29508196721311475</v>
      </c>
      <c r="AD25" s="22"/>
      <c r="AJ25" s="18" t="s">
        <v>378</v>
      </c>
      <c r="AK25" s="40">
        <f>COUNTIF(AN$7:AN$107,"&gt;=9.0")-COUNTIF(AN$7:AN$107,"&gt;9.499")</f>
        <v>3</v>
      </c>
      <c r="AN25">
        <v>5.04</v>
      </c>
    </row>
    <row r="26" spans="2:40" x14ac:dyDescent="0.35">
      <c r="B26">
        <v>0.7</v>
      </c>
      <c r="C26">
        <v>0.71</v>
      </c>
      <c r="E26">
        <v>2.37</v>
      </c>
      <c r="F26">
        <v>6.06</v>
      </c>
      <c r="G26">
        <v>18.5</v>
      </c>
      <c r="P26">
        <v>18.5</v>
      </c>
      <c r="Q26" s="24">
        <v>24.8</v>
      </c>
      <c r="R26">
        <f t="shared" si="0"/>
        <v>25.8</v>
      </c>
      <c r="S26">
        <f t="shared" si="1"/>
        <v>1.4116197059632303</v>
      </c>
      <c r="T26">
        <f t="shared" si="6"/>
        <v>19</v>
      </c>
      <c r="U26" s="23">
        <f t="shared" si="2"/>
        <v>0.30158730158730157</v>
      </c>
      <c r="W26">
        <v>0.7</v>
      </c>
      <c r="X26" s="29">
        <v>0.74</v>
      </c>
      <c r="Y26">
        <f t="shared" si="3"/>
        <v>1.74</v>
      </c>
      <c r="Z26">
        <f t="shared" si="4"/>
        <v>0.24054924828259971</v>
      </c>
      <c r="AA26">
        <f t="shared" si="7"/>
        <v>19</v>
      </c>
      <c r="AB26" s="23">
        <f t="shared" si="5"/>
        <v>0.31147540983606559</v>
      </c>
      <c r="AD26" s="22"/>
      <c r="AJ26" s="18" t="s">
        <v>379</v>
      </c>
      <c r="AK26" s="40">
        <f>COUNTIF(AN$7:AN$107,"&gt;=9.5")-COUNTIF(AN$7:AN$107,"&gt;9.999")</f>
        <v>2</v>
      </c>
      <c r="AN26">
        <v>5.0999999999999996</v>
      </c>
    </row>
    <row r="27" spans="2:40" x14ac:dyDescent="0.35">
      <c r="B27">
        <v>0.77</v>
      </c>
      <c r="C27">
        <v>1.05</v>
      </c>
      <c r="E27">
        <v>7.51</v>
      </c>
      <c r="F27">
        <v>7.06</v>
      </c>
      <c r="G27">
        <v>22.7</v>
      </c>
      <c r="P27">
        <v>22.7</v>
      </c>
      <c r="Q27" s="24">
        <v>24.8</v>
      </c>
      <c r="R27">
        <f t="shared" si="0"/>
        <v>25.8</v>
      </c>
      <c r="S27">
        <f t="shared" si="1"/>
        <v>1.4116197059632303</v>
      </c>
      <c r="T27">
        <f t="shared" si="6"/>
        <v>20</v>
      </c>
      <c r="U27" s="23">
        <f t="shared" si="2"/>
        <v>0.31746031746031744</v>
      </c>
      <c r="W27">
        <v>0.77</v>
      </c>
      <c r="X27" s="29">
        <v>0.74</v>
      </c>
      <c r="Y27">
        <f t="shared" si="3"/>
        <v>1.74</v>
      </c>
      <c r="Z27">
        <f t="shared" si="4"/>
        <v>0.24054924828259971</v>
      </c>
      <c r="AA27">
        <f t="shared" si="7"/>
        <v>20</v>
      </c>
      <c r="AB27" s="23">
        <f t="shared" si="5"/>
        <v>0.32786885245901637</v>
      </c>
      <c r="AD27" s="22"/>
      <c r="AJ27" s="18" t="s">
        <v>380</v>
      </c>
      <c r="AK27" s="40">
        <f>COUNTIF(AN$7:AN$107,"&gt;=10.0")-COUNTIF(AN$7:AN$107,"&gt;10.499")</f>
        <v>1</v>
      </c>
      <c r="AN27">
        <v>5.16</v>
      </c>
    </row>
    <row r="28" spans="2:40" x14ac:dyDescent="0.35">
      <c r="B28">
        <v>0.73</v>
      </c>
      <c r="C28">
        <v>0.78</v>
      </c>
      <c r="E28">
        <v>12.6</v>
      </c>
      <c r="F28">
        <v>6.46</v>
      </c>
      <c r="G28">
        <v>16.7</v>
      </c>
      <c r="P28">
        <v>16.7</v>
      </c>
      <c r="Q28" s="24">
        <v>24.7</v>
      </c>
      <c r="R28">
        <f t="shared" si="0"/>
        <v>25.7</v>
      </c>
      <c r="S28">
        <f t="shared" si="1"/>
        <v>1.4099331233312946</v>
      </c>
      <c r="T28">
        <f t="shared" si="6"/>
        <v>21</v>
      </c>
      <c r="U28" s="23">
        <f t="shared" si="2"/>
        <v>0.33333333333333331</v>
      </c>
      <c r="W28">
        <v>0.73</v>
      </c>
      <c r="X28" s="29">
        <v>0.74</v>
      </c>
      <c r="Y28">
        <f t="shared" si="3"/>
        <v>1.74</v>
      </c>
      <c r="Z28">
        <f t="shared" si="4"/>
        <v>0.24054924828259971</v>
      </c>
      <c r="AA28">
        <f t="shared" si="7"/>
        <v>21</v>
      </c>
      <c r="AB28" s="23">
        <f t="shared" si="5"/>
        <v>0.34426229508196721</v>
      </c>
      <c r="AD28" s="22"/>
      <c r="AJ28" s="18" t="s">
        <v>381</v>
      </c>
      <c r="AK28" s="40">
        <f>COUNTIF(AN$7:AN$107,"&gt;=10.5")-COUNTIF(AN$7:AN$107,"&gt;10.999")</f>
        <v>0</v>
      </c>
      <c r="AN28">
        <v>5.32</v>
      </c>
    </row>
    <row r="29" spans="2:40" x14ac:dyDescent="0.35">
      <c r="B29">
        <v>0.69</v>
      </c>
      <c r="C29">
        <v>0.72</v>
      </c>
      <c r="E29">
        <v>3.46</v>
      </c>
      <c r="F29">
        <v>6.65</v>
      </c>
      <c r="G29">
        <v>13.3</v>
      </c>
      <c r="P29">
        <v>13.3</v>
      </c>
      <c r="Q29" s="24">
        <v>24.1</v>
      </c>
      <c r="R29">
        <f t="shared" si="0"/>
        <v>25.1</v>
      </c>
      <c r="S29">
        <f t="shared" si="1"/>
        <v>1.3996737214810382</v>
      </c>
      <c r="T29">
        <f t="shared" si="6"/>
        <v>22</v>
      </c>
      <c r="U29" s="23">
        <f t="shared" si="2"/>
        <v>0.34920634920634919</v>
      </c>
      <c r="W29">
        <v>0.69</v>
      </c>
      <c r="X29" s="29">
        <v>0.74</v>
      </c>
      <c r="Y29">
        <f t="shared" si="3"/>
        <v>1.74</v>
      </c>
      <c r="Z29">
        <f t="shared" si="4"/>
        <v>0.24054924828259971</v>
      </c>
      <c r="AA29">
        <f t="shared" si="7"/>
        <v>22</v>
      </c>
      <c r="AB29" s="23">
        <f t="shared" si="5"/>
        <v>0.36065573770491804</v>
      </c>
      <c r="AD29" s="22"/>
      <c r="AJ29" s="18" t="s">
        <v>382</v>
      </c>
      <c r="AK29" s="40">
        <f>COUNTIF(AN$7:AN$107,"&gt;=11.0")-COUNTIF(AN$7:AN$107,"&gt;11.499")</f>
        <v>0</v>
      </c>
      <c r="AN29">
        <v>5.36</v>
      </c>
    </row>
    <row r="30" spans="2:40" x14ac:dyDescent="0.35">
      <c r="B30">
        <v>0.5</v>
      </c>
      <c r="C30">
        <v>0.74</v>
      </c>
      <c r="E30">
        <v>7.61</v>
      </c>
      <c r="F30">
        <v>5.36</v>
      </c>
      <c r="G30">
        <v>18.3</v>
      </c>
      <c r="P30">
        <v>18.3</v>
      </c>
      <c r="Q30" s="24">
        <v>22.9</v>
      </c>
      <c r="R30">
        <f t="shared" si="0"/>
        <v>23.9</v>
      </c>
      <c r="S30">
        <f t="shared" si="1"/>
        <v>1.3783979009481377</v>
      </c>
      <c r="T30">
        <f t="shared" si="6"/>
        <v>23</v>
      </c>
      <c r="U30" s="23">
        <f t="shared" si="2"/>
        <v>0.36507936507936506</v>
      </c>
      <c r="W30">
        <v>0.5</v>
      </c>
      <c r="X30" s="29">
        <v>0.73</v>
      </c>
      <c r="Y30">
        <f t="shared" si="3"/>
        <v>1.73</v>
      </c>
      <c r="Z30">
        <f t="shared" si="4"/>
        <v>0.2380461031287954</v>
      </c>
      <c r="AA30">
        <f t="shared" si="7"/>
        <v>23</v>
      </c>
      <c r="AB30" s="23">
        <f t="shared" si="5"/>
        <v>0.37704918032786883</v>
      </c>
      <c r="AD30" s="22"/>
      <c r="AJ30" s="18" t="s">
        <v>383</v>
      </c>
      <c r="AK30" s="40">
        <f>COUNTIF(AN$7:AN$107,"&gt;=11.50")-COUNTIF(AN$7:AN$107,"&gt;11.999")</f>
        <v>2</v>
      </c>
      <c r="AN30">
        <v>5.42</v>
      </c>
    </row>
    <row r="31" spans="2:40" x14ac:dyDescent="0.35">
      <c r="B31">
        <v>0.7</v>
      </c>
      <c r="C31">
        <v>0.76</v>
      </c>
      <c r="E31">
        <v>8.32</v>
      </c>
      <c r="F31">
        <v>6.13</v>
      </c>
      <c r="G31">
        <v>16.600000000000001</v>
      </c>
      <c r="P31">
        <v>16.600000000000001</v>
      </c>
      <c r="Q31" s="24">
        <v>22.7</v>
      </c>
      <c r="R31">
        <f t="shared" si="0"/>
        <v>23.7</v>
      </c>
      <c r="S31">
        <f t="shared" si="1"/>
        <v>1.3747483460101038</v>
      </c>
      <c r="T31">
        <f t="shared" si="6"/>
        <v>24</v>
      </c>
      <c r="U31" s="23">
        <f t="shared" si="2"/>
        <v>0.38095238095238093</v>
      </c>
      <c r="W31">
        <v>0.7</v>
      </c>
      <c r="X31" s="29">
        <v>0.73</v>
      </c>
      <c r="Y31">
        <f t="shared" si="3"/>
        <v>1.73</v>
      </c>
      <c r="Z31">
        <f t="shared" si="4"/>
        <v>0.2380461031287954</v>
      </c>
      <c r="AA31">
        <f t="shared" si="7"/>
        <v>24</v>
      </c>
      <c r="AB31" s="23">
        <f t="shared" si="5"/>
        <v>0.39344262295081966</v>
      </c>
      <c r="AD31" s="22"/>
      <c r="AJ31" s="18" t="s">
        <v>384</v>
      </c>
      <c r="AK31" s="40">
        <f>COUNTIF(AN$7:AN$107,"&gt;=12.0")-COUNTIF(AN$7:AN$107,"&gt;12.499")</f>
        <v>0</v>
      </c>
      <c r="AN31">
        <v>5.42</v>
      </c>
    </row>
    <row r="32" spans="2:40" x14ac:dyDescent="0.35">
      <c r="B32">
        <v>0.62</v>
      </c>
      <c r="C32">
        <v>0.75</v>
      </c>
      <c r="E32">
        <v>6.51</v>
      </c>
      <c r="F32">
        <v>6.38</v>
      </c>
      <c r="G32">
        <v>17.8</v>
      </c>
      <c r="P32">
        <v>17.8</v>
      </c>
      <c r="Q32" s="24">
        <v>22.5</v>
      </c>
      <c r="R32">
        <f t="shared" si="0"/>
        <v>23.5</v>
      </c>
      <c r="S32">
        <f t="shared" si="1"/>
        <v>1.3710678622717363</v>
      </c>
      <c r="T32">
        <f t="shared" si="6"/>
        <v>25</v>
      </c>
      <c r="U32" s="23">
        <f t="shared" si="2"/>
        <v>0.3968253968253968</v>
      </c>
      <c r="W32">
        <v>0.62</v>
      </c>
      <c r="X32" s="29">
        <v>0.73</v>
      </c>
      <c r="Y32">
        <f t="shared" si="3"/>
        <v>1.73</v>
      </c>
      <c r="Z32">
        <f t="shared" si="4"/>
        <v>0.2380461031287954</v>
      </c>
      <c r="AA32">
        <f t="shared" si="7"/>
        <v>25</v>
      </c>
      <c r="AB32" s="23">
        <f t="shared" si="5"/>
        <v>0.4098360655737705</v>
      </c>
      <c r="AD32" s="22"/>
      <c r="AJ32" s="18" t="s">
        <v>385</v>
      </c>
      <c r="AK32" s="40">
        <f>COUNTIF(AN$7:AN$107,"&gt;=12.5")-COUNTIF(AN$7:AN$107,"&gt;12.999")</f>
        <v>1</v>
      </c>
      <c r="AN32">
        <v>5.43</v>
      </c>
    </row>
    <row r="33" spans="2:40" x14ac:dyDescent="0.35">
      <c r="B33">
        <v>0.71</v>
      </c>
      <c r="C33">
        <v>0.69</v>
      </c>
      <c r="E33">
        <v>7.09</v>
      </c>
      <c r="F33">
        <v>6.18</v>
      </c>
      <c r="G33">
        <v>18.600000000000001</v>
      </c>
      <c r="P33">
        <v>18.600000000000001</v>
      </c>
      <c r="Q33" s="24">
        <v>22.4</v>
      </c>
      <c r="R33">
        <f t="shared" si="0"/>
        <v>23.4</v>
      </c>
      <c r="S33">
        <f t="shared" si="1"/>
        <v>1.3692158574101427</v>
      </c>
      <c r="T33">
        <f t="shared" si="6"/>
        <v>26</v>
      </c>
      <c r="U33" s="23">
        <f t="shared" si="2"/>
        <v>0.41269841269841268</v>
      </c>
      <c r="W33">
        <v>0.71</v>
      </c>
      <c r="X33" s="29">
        <v>0.73</v>
      </c>
      <c r="Y33">
        <f t="shared" si="3"/>
        <v>1.73</v>
      </c>
      <c r="Z33">
        <f t="shared" si="4"/>
        <v>0.2380461031287954</v>
      </c>
      <c r="AA33">
        <f t="shared" si="7"/>
        <v>26</v>
      </c>
      <c r="AB33" s="23">
        <f t="shared" si="5"/>
        <v>0.42622950819672129</v>
      </c>
      <c r="AD33" s="22"/>
      <c r="AJ33" s="18" t="s">
        <v>386</v>
      </c>
      <c r="AK33" s="40">
        <f>COUNTIF(AN$7:AN$107,"&gt;=13")</f>
        <v>0</v>
      </c>
      <c r="AN33">
        <v>5.48</v>
      </c>
    </row>
    <row r="34" spans="2:40" x14ac:dyDescent="0.35">
      <c r="B34">
        <v>0.56999999999999995</v>
      </c>
      <c r="C34">
        <v>0.74</v>
      </c>
      <c r="E34">
        <v>3.53</v>
      </c>
      <c r="F34">
        <v>8.77</v>
      </c>
      <c r="G34">
        <v>22.2</v>
      </c>
      <c r="P34">
        <v>22.2</v>
      </c>
      <c r="Q34" s="24">
        <v>22.3</v>
      </c>
      <c r="R34">
        <f t="shared" si="0"/>
        <v>23.3</v>
      </c>
      <c r="S34">
        <f t="shared" si="1"/>
        <v>1.3673559210260189</v>
      </c>
      <c r="T34">
        <f t="shared" si="6"/>
        <v>27</v>
      </c>
      <c r="U34" s="23">
        <f t="shared" si="2"/>
        <v>0.42857142857142855</v>
      </c>
      <c r="W34">
        <v>0.56999999999999995</v>
      </c>
      <c r="X34" s="29">
        <v>0.73</v>
      </c>
      <c r="Y34">
        <f t="shared" si="3"/>
        <v>1.73</v>
      </c>
      <c r="Z34">
        <f t="shared" si="4"/>
        <v>0.2380461031287954</v>
      </c>
      <c r="AA34">
        <f t="shared" si="7"/>
        <v>27</v>
      </c>
      <c r="AB34" s="23">
        <f t="shared" si="5"/>
        <v>0.44262295081967212</v>
      </c>
      <c r="AD34" s="22"/>
      <c r="AN34">
        <v>5.48</v>
      </c>
    </row>
    <row r="35" spans="2:40" x14ac:dyDescent="0.35">
      <c r="B35">
        <v>0.61</v>
      </c>
      <c r="C35">
        <v>0.72</v>
      </c>
      <c r="E35">
        <v>9.14</v>
      </c>
      <c r="F35">
        <v>6.75</v>
      </c>
      <c r="G35">
        <v>24.7</v>
      </c>
      <c r="P35">
        <v>24.7</v>
      </c>
      <c r="Q35" s="24">
        <v>22.2</v>
      </c>
      <c r="R35">
        <f t="shared" si="0"/>
        <v>23.2</v>
      </c>
      <c r="S35">
        <f t="shared" si="1"/>
        <v>1.3654879848908996</v>
      </c>
      <c r="T35">
        <f t="shared" si="6"/>
        <v>28</v>
      </c>
      <c r="U35" s="23">
        <f t="shared" si="2"/>
        <v>0.44444444444444442</v>
      </c>
      <c r="W35">
        <v>0.61</v>
      </c>
      <c r="X35" s="29">
        <v>0.73</v>
      </c>
      <c r="Y35">
        <f t="shared" si="3"/>
        <v>1.73</v>
      </c>
      <c r="Z35">
        <f t="shared" si="4"/>
        <v>0.2380461031287954</v>
      </c>
      <c r="AA35">
        <f t="shared" si="7"/>
        <v>28</v>
      </c>
      <c r="AB35" s="23">
        <f t="shared" si="5"/>
        <v>0.45901639344262296</v>
      </c>
      <c r="AD35" s="22"/>
      <c r="AN35">
        <v>5.54</v>
      </c>
    </row>
    <row r="36" spans="2:40" x14ac:dyDescent="0.35">
      <c r="B36">
        <v>0.73</v>
      </c>
      <c r="C36">
        <v>0.88</v>
      </c>
      <c r="E36">
        <v>9.18</v>
      </c>
      <c r="F36">
        <v>6.05</v>
      </c>
      <c r="G36">
        <v>28.3</v>
      </c>
      <c r="P36">
        <v>28.3</v>
      </c>
      <c r="Q36" s="24">
        <v>22.1</v>
      </c>
      <c r="R36">
        <f t="shared" si="0"/>
        <v>23.1</v>
      </c>
      <c r="S36">
        <f t="shared" si="1"/>
        <v>1.3636119798921444</v>
      </c>
      <c r="T36">
        <f t="shared" si="6"/>
        <v>29</v>
      </c>
      <c r="U36" s="23">
        <f t="shared" si="2"/>
        <v>0.46031746031746029</v>
      </c>
      <c r="W36">
        <v>0.73</v>
      </c>
      <c r="X36" s="29">
        <v>0.72</v>
      </c>
      <c r="Y36">
        <f t="shared" si="3"/>
        <v>1.72</v>
      </c>
      <c r="Z36">
        <f t="shared" si="4"/>
        <v>0.2355284469075489</v>
      </c>
      <c r="AA36">
        <f t="shared" si="7"/>
        <v>29</v>
      </c>
      <c r="AB36" s="23">
        <f t="shared" si="5"/>
        <v>0.47540983606557374</v>
      </c>
      <c r="AD36" s="22"/>
      <c r="AN36">
        <v>5.54</v>
      </c>
    </row>
    <row r="37" spans="2:40" x14ac:dyDescent="0.35">
      <c r="C37">
        <v>0.99</v>
      </c>
      <c r="E37">
        <v>5.75</v>
      </c>
      <c r="F37">
        <v>4.55</v>
      </c>
      <c r="G37">
        <v>26.8</v>
      </c>
      <c r="P37">
        <v>26.8</v>
      </c>
      <c r="Q37" s="24">
        <v>21.4</v>
      </c>
      <c r="R37">
        <f t="shared" si="0"/>
        <v>22.4</v>
      </c>
      <c r="S37">
        <f t="shared" si="1"/>
        <v>1.3502480183341627</v>
      </c>
      <c r="T37">
        <f t="shared" si="6"/>
        <v>30</v>
      </c>
      <c r="U37" s="23">
        <f t="shared" si="2"/>
        <v>0.47619047619047616</v>
      </c>
      <c r="W37">
        <v>0.72</v>
      </c>
      <c r="X37" s="29">
        <v>0.72</v>
      </c>
      <c r="Y37">
        <f t="shared" si="3"/>
        <v>1.72</v>
      </c>
      <c r="Z37">
        <f t="shared" si="4"/>
        <v>0.2355284469075489</v>
      </c>
      <c r="AA37">
        <f t="shared" si="7"/>
        <v>30</v>
      </c>
      <c r="AB37" s="23">
        <f t="shared" si="5"/>
        <v>0.49180327868852458</v>
      </c>
      <c r="AD37" s="22"/>
      <c r="AN37">
        <v>5.59</v>
      </c>
    </row>
    <row r="38" spans="2:40" x14ac:dyDescent="0.35">
      <c r="C38">
        <v>0.7</v>
      </c>
      <c r="E38">
        <v>5.42</v>
      </c>
      <c r="F38">
        <v>7.24</v>
      </c>
      <c r="G38">
        <v>21.4</v>
      </c>
      <c r="P38">
        <v>21.4</v>
      </c>
      <c r="Q38" s="24">
        <v>21.4</v>
      </c>
      <c r="R38">
        <f t="shared" si="0"/>
        <v>22.4</v>
      </c>
      <c r="S38">
        <f t="shared" si="1"/>
        <v>1.3502480183341627</v>
      </c>
      <c r="T38">
        <f t="shared" si="6"/>
        <v>31</v>
      </c>
      <c r="U38" s="23">
        <f t="shared" si="2"/>
        <v>0.49206349206349204</v>
      </c>
      <c r="W38">
        <v>0.54</v>
      </c>
      <c r="X38" s="29">
        <v>0.72</v>
      </c>
      <c r="Y38">
        <f t="shared" si="3"/>
        <v>1.72</v>
      </c>
      <c r="Z38">
        <f t="shared" si="4"/>
        <v>0.2355284469075489</v>
      </c>
      <c r="AA38">
        <f t="shared" si="7"/>
        <v>31</v>
      </c>
      <c r="AB38" s="23">
        <f t="shared" si="5"/>
        <v>0.50819672131147542</v>
      </c>
      <c r="AD38" s="22"/>
      <c r="AN38">
        <v>5.69</v>
      </c>
    </row>
    <row r="39" spans="2:40" ht="15" x14ac:dyDescent="0.4">
      <c r="B39" s="6">
        <f>SUM(B8:B36)/29</f>
        <v>0.69034482758620686</v>
      </c>
      <c r="C39">
        <v>1.1299999999999999</v>
      </c>
      <c r="E39">
        <v>7.47</v>
      </c>
      <c r="F39">
        <v>6.3</v>
      </c>
      <c r="G39">
        <v>17.600000000000001</v>
      </c>
      <c r="P39">
        <v>17.600000000000001</v>
      </c>
      <c r="Q39" s="24">
        <v>21.4</v>
      </c>
      <c r="R39">
        <f t="shared" si="0"/>
        <v>22.4</v>
      </c>
      <c r="S39">
        <f t="shared" si="1"/>
        <v>1.3502480183341627</v>
      </c>
      <c r="T39">
        <f t="shared" si="6"/>
        <v>32</v>
      </c>
      <c r="U39" s="23">
        <f t="shared" si="2"/>
        <v>0.50793650793650791</v>
      </c>
      <c r="W39">
        <v>0.5</v>
      </c>
      <c r="X39" s="29">
        <v>0.72</v>
      </c>
      <c r="Y39">
        <f t="shared" si="3"/>
        <v>1.72</v>
      </c>
      <c r="Z39">
        <f t="shared" si="4"/>
        <v>0.2355284469075489</v>
      </c>
      <c r="AA39">
        <f t="shared" si="7"/>
        <v>32</v>
      </c>
      <c r="AB39" s="23">
        <f t="shared" si="5"/>
        <v>0.52459016393442626</v>
      </c>
      <c r="AD39" s="22"/>
      <c r="AN39">
        <v>5.72</v>
      </c>
    </row>
    <row r="40" spans="2:40" x14ac:dyDescent="0.35">
      <c r="E40">
        <v>5.32</v>
      </c>
      <c r="F40">
        <v>6.4</v>
      </c>
      <c r="G40">
        <v>22.1</v>
      </c>
      <c r="P40">
        <v>22.1</v>
      </c>
      <c r="Q40" s="24">
        <v>21.2</v>
      </c>
      <c r="R40">
        <f t="shared" si="0"/>
        <v>22.2</v>
      </c>
      <c r="S40">
        <f t="shared" si="1"/>
        <v>1.3463529744506386</v>
      </c>
      <c r="T40">
        <f t="shared" si="6"/>
        <v>33</v>
      </c>
      <c r="U40" s="23">
        <f t="shared" si="2"/>
        <v>0.52380952380952384</v>
      </c>
      <c r="W40">
        <v>0.87</v>
      </c>
      <c r="X40" s="29">
        <v>0.72</v>
      </c>
      <c r="Y40">
        <f t="shared" si="3"/>
        <v>1.72</v>
      </c>
      <c r="Z40">
        <f t="shared" si="4"/>
        <v>0.2355284469075489</v>
      </c>
      <c r="AA40">
        <f t="shared" si="7"/>
        <v>33</v>
      </c>
      <c r="AB40" s="23">
        <f t="shared" si="5"/>
        <v>0.54098360655737709</v>
      </c>
      <c r="AD40" s="22"/>
      <c r="AN40">
        <v>5.75</v>
      </c>
    </row>
    <row r="41" spans="2:40" ht="15" x14ac:dyDescent="0.4">
      <c r="C41" s="6">
        <f>SUM(C8:C39)/32</f>
        <v>0.74624999999999986</v>
      </c>
      <c r="E41">
        <v>4.99</v>
      </c>
      <c r="F41">
        <v>7.32</v>
      </c>
      <c r="G41">
        <v>18.8</v>
      </c>
      <c r="P41">
        <v>18.8</v>
      </c>
      <c r="Q41" s="24">
        <v>21.1</v>
      </c>
      <c r="R41">
        <f t="shared" si="0"/>
        <v>22.1</v>
      </c>
      <c r="S41">
        <f t="shared" si="1"/>
        <v>1.3443922736851108</v>
      </c>
      <c r="T41">
        <f t="shared" si="6"/>
        <v>34</v>
      </c>
      <c r="U41" s="23">
        <f t="shared" si="2"/>
        <v>0.53968253968253965</v>
      </c>
      <c r="W41">
        <v>0.68</v>
      </c>
      <c r="X41" s="29">
        <v>0.71</v>
      </c>
      <c r="Y41">
        <f t="shared" si="3"/>
        <v>1.71</v>
      </c>
      <c r="Z41">
        <f t="shared" si="4"/>
        <v>0.23299611039215382</v>
      </c>
      <c r="AA41">
        <f t="shared" si="7"/>
        <v>34</v>
      </c>
      <c r="AB41" s="23">
        <f t="shared" si="5"/>
        <v>0.55737704918032782</v>
      </c>
      <c r="AD41" s="22"/>
      <c r="AN41">
        <v>5.78</v>
      </c>
    </row>
    <row r="42" spans="2:40" x14ac:dyDescent="0.35">
      <c r="E42">
        <v>11.9</v>
      </c>
      <c r="F42">
        <v>5.54</v>
      </c>
      <c r="G42">
        <v>17.7</v>
      </c>
      <c r="P42">
        <v>17.7</v>
      </c>
      <c r="Q42" s="24">
        <v>21</v>
      </c>
      <c r="R42">
        <f t="shared" si="0"/>
        <v>22</v>
      </c>
      <c r="S42">
        <f t="shared" si="1"/>
        <v>1.3424226808222062</v>
      </c>
      <c r="T42">
        <f t="shared" si="6"/>
        <v>35</v>
      </c>
      <c r="U42" s="23">
        <f t="shared" si="2"/>
        <v>0.55555555555555558</v>
      </c>
      <c r="W42">
        <v>0.66</v>
      </c>
      <c r="X42" s="29">
        <v>0.71</v>
      </c>
      <c r="Y42">
        <f t="shared" si="3"/>
        <v>1.71</v>
      </c>
      <c r="Z42">
        <f t="shared" si="4"/>
        <v>0.23299611039215382</v>
      </c>
      <c r="AA42">
        <f t="shared" si="7"/>
        <v>35</v>
      </c>
      <c r="AB42" s="23">
        <f t="shared" si="5"/>
        <v>0.57377049180327866</v>
      </c>
      <c r="AD42" s="22"/>
      <c r="AN42">
        <v>5.83</v>
      </c>
    </row>
    <row r="43" spans="2:40" x14ac:dyDescent="0.35">
      <c r="E43">
        <v>9.6999999999999993</v>
      </c>
      <c r="F43">
        <v>5.16</v>
      </c>
      <c r="G43">
        <v>22.5</v>
      </c>
      <c r="P43">
        <v>22.5</v>
      </c>
      <c r="Q43" s="24">
        <v>20.9</v>
      </c>
      <c r="R43">
        <f t="shared" si="0"/>
        <v>21.9</v>
      </c>
      <c r="S43">
        <f t="shared" si="1"/>
        <v>1.3404441148401183</v>
      </c>
      <c r="T43">
        <f t="shared" si="6"/>
        <v>36</v>
      </c>
      <c r="U43" s="23">
        <f t="shared" si="2"/>
        <v>0.5714285714285714</v>
      </c>
      <c r="W43">
        <v>0.78</v>
      </c>
      <c r="X43" s="29">
        <v>0.71</v>
      </c>
      <c r="Y43">
        <f t="shared" si="3"/>
        <v>1.71</v>
      </c>
      <c r="Z43">
        <f t="shared" si="4"/>
        <v>0.23299611039215382</v>
      </c>
      <c r="AA43">
        <f t="shared" si="7"/>
        <v>36</v>
      </c>
      <c r="AB43" s="23">
        <f t="shared" si="5"/>
        <v>0.5901639344262295</v>
      </c>
      <c r="AD43" s="22"/>
      <c r="AN43">
        <v>5.94</v>
      </c>
    </row>
    <row r="44" spans="2:40" x14ac:dyDescent="0.35">
      <c r="E44">
        <v>6.48</v>
      </c>
      <c r="F44">
        <v>7.14</v>
      </c>
      <c r="G44">
        <v>26.3</v>
      </c>
      <c r="P44">
        <v>26.3</v>
      </c>
      <c r="Q44" s="24">
        <v>20.8</v>
      </c>
      <c r="R44">
        <f t="shared" si="0"/>
        <v>21.8</v>
      </c>
      <c r="S44">
        <f t="shared" si="1"/>
        <v>1.3384564936046048</v>
      </c>
      <c r="T44">
        <f t="shared" si="6"/>
        <v>37</v>
      </c>
      <c r="U44" s="23">
        <f t="shared" si="2"/>
        <v>0.58730158730158732</v>
      </c>
      <c r="W44">
        <v>0.8</v>
      </c>
      <c r="X44" s="29">
        <v>0.7</v>
      </c>
      <c r="Y44">
        <f t="shared" si="3"/>
        <v>1.7</v>
      </c>
      <c r="Z44">
        <f t="shared" si="4"/>
        <v>0.23044892137827391</v>
      </c>
      <c r="AA44">
        <f t="shared" si="7"/>
        <v>37</v>
      </c>
      <c r="AB44" s="23">
        <f t="shared" si="5"/>
        <v>0.60655737704918034</v>
      </c>
      <c r="AD44" s="22"/>
      <c r="AN44">
        <v>5.95</v>
      </c>
    </row>
    <row r="45" spans="2:40" x14ac:dyDescent="0.35">
      <c r="E45">
        <v>5.59</v>
      </c>
      <c r="F45">
        <v>5.04</v>
      </c>
      <c r="G45">
        <v>21</v>
      </c>
      <c r="I45" s="18" t="s">
        <v>196</v>
      </c>
      <c r="P45">
        <v>21</v>
      </c>
      <c r="Q45" s="24">
        <v>20.6</v>
      </c>
      <c r="R45">
        <f t="shared" si="0"/>
        <v>21.6</v>
      </c>
      <c r="S45">
        <f t="shared" si="1"/>
        <v>1.3344537511509309</v>
      </c>
      <c r="T45">
        <f t="shared" si="6"/>
        <v>38</v>
      </c>
      <c r="U45" s="23">
        <f t="shared" si="2"/>
        <v>0.60317460317460314</v>
      </c>
      <c r="W45">
        <v>0.79</v>
      </c>
      <c r="X45" s="29">
        <v>0.7</v>
      </c>
      <c r="Y45">
        <f t="shared" si="3"/>
        <v>1.7</v>
      </c>
      <c r="Z45">
        <f t="shared" si="4"/>
        <v>0.23044892137827391</v>
      </c>
      <c r="AA45">
        <f t="shared" si="7"/>
        <v>38</v>
      </c>
      <c r="AB45" s="23">
        <f t="shared" si="5"/>
        <v>0.62295081967213117</v>
      </c>
      <c r="AD45" s="22"/>
      <c r="AN45">
        <v>6.02</v>
      </c>
    </row>
    <row r="46" spans="2:40" x14ac:dyDescent="0.35">
      <c r="E46">
        <v>8.3699999999999992</v>
      </c>
      <c r="F46">
        <v>6.71</v>
      </c>
      <c r="G46">
        <v>29.3</v>
      </c>
      <c r="I46" s="18" t="s">
        <v>197</v>
      </c>
      <c r="P46">
        <v>29.3</v>
      </c>
      <c r="Q46" s="24">
        <v>20.100000000000001</v>
      </c>
      <c r="R46">
        <f t="shared" si="0"/>
        <v>21.1</v>
      </c>
      <c r="S46">
        <f t="shared" si="1"/>
        <v>1.3242824552976926</v>
      </c>
      <c r="T46">
        <f t="shared" si="6"/>
        <v>39</v>
      </c>
      <c r="U46" s="23">
        <f t="shared" si="2"/>
        <v>0.61904761904761907</v>
      </c>
      <c r="W46">
        <v>0.61</v>
      </c>
      <c r="X46" s="29">
        <v>0.7</v>
      </c>
      <c r="Y46">
        <f t="shared" si="3"/>
        <v>1.7</v>
      </c>
      <c r="Z46">
        <f t="shared" si="4"/>
        <v>0.23044892137827391</v>
      </c>
      <c r="AA46">
        <f t="shared" si="7"/>
        <v>39</v>
      </c>
      <c r="AB46" s="23">
        <f t="shared" si="5"/>
        <v>0.63934426229508201</v>
      </c>
      <c r="AD46" s="22"/>
      <c r="AN46">
        <v>6.05</v>
      </c>
    </row>
    <row r="47" spans="2:40" x14ac:dyDescent="0.35">
      <c r="E47">
        <v>9.17</v>
      </c>
      <c r="F47">
        <v>6.52</v>
      </c>
      <c r="G47">
        <v>20.6</v>
      </c>
      <c r="P47">
        <v>20.6</v>
      </c>
      <c r="Q47" s="24">
        <v>20</v>
      </c>
      <c r="R47">
        <f t="shared" si="0"/>
        <v>21</v>
      </c>
      <c r="S47">
        <f t="shared" si="1"/>
        <v>1.3222192947339193</v>
      </c>
      <c r="T47">
        <f t="shared" si="6"/>
        <v>40</v>
      </c>
      <c r="U47" s="23">
        <f t="shared" si="2"/>
        <v>0.63492063492063489</v>
      </c>
      <c r="W47">
        <v>0.75</v>
      </c>
      <c r="X47" s="29">
        <v>0.7</v>
      </c>
      <c r="Y47">
        <f t="shared" si="3"/>
        <v>1.7</v>
      </c>
      <c r="Z47">
        <f t="shared" si="4"/>
        <v>0.23044892137827391</v>
      </c>
      <c r="AA47">
        <f t="shared" si="7"/>
        <v>40</v>
      </c>
      <c r="AB47" s="23">
        <f t="shared" si="5"/>
        <v>0.65573770491803274</v>
      </c>
      <c r="AD47" s="22"/>
      <c r="AN47">
        <v>6.06</v>
      </c>
    </row>
    <row r="48" spans="2:40" x14ac:dyDescent="0.35">
      <c r="E48">
        <v>7.61</v>
      </c>
      <c r="F48">
        <v>6.53</v>
      </c>
      <c r="G48">
        <v>31.2</v>
      </c>
      <c r="P48">
        <v>31.2</v>
      </c>
      <c r="Q48" s="24">
        <v>19.8</v>
      </c>
      <c r="R48">
        <f t="shared" si="0"/>
        <v>20.8</v>
      </c>
      <c r="S48">
        <f t="shared" si="1"/>
        <v>1.3180633349627615</v>
      </c>
      <c r="T48">
        <f t="shared" si="6"/>
        <v>41</v>
      </c>
      <c r="U48" s="23">
        <f t="shared" si="2"/>
        <v>0.65079365079365081</v>
      </c>
      <c r="W48">
        <v>0.64</v>
      </c>
      <c r="X48" s="29">
        <v>0.7</v>
      </c>
      <c r="Y48">
        <f t="shared" si="3"/>
        <v>1.7</v>
      </c>
      <c r="Z48">
        <f t="shared" si="4"/>
        <v>0.23044892137827391</v>
      </c>
      <c r="AA48">
        <f t="shared" si="7"/>
        <v>41</v>
      </c>
      <c r="AB48" s="23">
        <f t="shared" si="5"/>
        <v>0.67213114754098358</v>
      </c>
      <c r="AD48" s="22"/>
      <c r="AN48">
        <v>6.13</v>
      </c>
    </row>
    <row r="49" spans="5:40" x14ac:dyDescent="0.35">
      <c r="E49">
        <v>7.26</v>
      </c>
      <c r="F49">
        <v>5.43</v>
      </c>
      <c r="G49">
        <v>35.700000000000003</v>
      </c>
      <c r="P49">
        <v>35.700000000000003</v>
      </c>
      <c r="Q49" s="24">
        <v>19.5</v>
      </c>
      <c r="R49">
        <f t="shared" si="0"/>
        <v>20.5</v>
      </c>
      <c r="S49">
        <f t="shared" si="1"/>
        <v>1.3117538610557542</v>
      </c>
      <c r="T49">
        <f t="shared" si="6"/>
        <v>42</v>
      </c>
      <c r="U49" s="23">
        <f t="shared" si="2"/>
        <v>0.66666666666666663</v>
      </c>
      <c r="W49">
        <v>0.46</v>
      </c>
      <c r="X49" s="29">
        <v>0.7</v>
      </c>
      <c r="Y49">
        <f t="shared" si="3"/>
        <v>1.7</v>
      </c>
      <c r="Z49">
        <f t="shared" si="4"/>
        <v>0.23044892137827391</v>
      </c>
      <c r="AA49">
        <f t="shared" si="7"/>
        <v>42</v>
      </c>
      <c r="AB49" s="23">
        <f t="shared" si="5"/>
        <v>0.68852459016393441</v>
      </c>
      <c r="AD49" s="22"/>
      <c r="AN49">
        <v>6.14</v>
      </c>
    </row>
    <row r="50" spans="5:40" x14ac:dyDescent="0.35">
      <c r="E50">
        <v>5.94</v>
      </c>
      <c r="F50">
        <v>5.54</v>
      </c>
      <c r="G50">
        <v>26.6</v>
      </c>
      <c r="P50">
        <v>26.6</v>
      </c>
      <c r="Q50" s="24">
        <v>19</v>
      </c>
      <c r="R50">
        <f t="shared" si="0"/>
        <v>20</v>
      </c>
      <c r="S50">
        <f t="shared" si="1"/>
        <v>1.3010299956639813</v>
      </c>
      <c r="T50">
        <f t="shared" si="6"/>
        <v>43</v>
      </c>
      <c r="U50" s="23">
        <f t="shared" si="2"/>
        <v>0.68253968253968256</v>
      </c>
      <c r="W50">
        <v>0.74</v>
      </c>
      <c r="X50" s="29">
        <v>0.7</v>
      </c>
      <c r="Y50">
        <f t="shared" si="3"/>
        <v>1.7</v>
      </c>
      <c r="Z50">
        <f t="shared" si="4"/>
        <v>0.23044892137827391</v>
      </c>
      <c r="AA50">
        <f t="shared" si="7"/>
        <v>43</v>
      </c>
      <c r="AB50" s="23">
        <f t="shared" si="5"/>
        <v>0.70491803278688525</v>
      </c>
      <c r="AD50" s="22"/>
      <c r="AN50">
        <v>6.18</v>
      </c>
    </row>
    <row r="51" spans="5:40" x14ac:dyDescent="0.35">
      <c r="E51">
        <v>5.95</v>
      </c>
      <c r="F51">
        <v>6.45</v>
      </c>
      <c r="G51">
        <v>25.8</v>
      </c>
      <c r="P51">
        <v>25.8</v>
      </c>
      <c r="Q51" s="24">
        <v>18.8</v>
      </c>
      <c r="R51">
        <f t="shared" si="0"/>
        <v>19.8</v>
      </c>
      <c r="S51">
        <f t="shared" si="1"/>
        <v>1.2966651902615312</v>
      </c>
      <c r="T51">
        <f t="shared" si="6"/>
        <v>44</v>
      </c>
      <c r="U51" s="23">
        <f t="shared" si="2"/>
        <v>0.69841269841269837</v>
      </c>
      <c r="W51">
        <v>0.85</v>
      </c>
      <c r="X51" s="29">
        <v>0.69</v>
      </c>
      <c r="Y51">
        <f t="shared" si="3"/>
        <v>1.69</v>
      </c>
      <c r="Z51">
        <f t="shared" si="4"/>
        <v>0.22788670461367352</v>
      </c>
      <c r="AA51">
        <f t="shared" si="7"/>
        <v>44</v>
      </c>
      <c r="AB51" s="23">
        <f t="shared" si="5"/>
        <v>0.72131147540983609</v>
      </c>
      <c r="AD51" s="22"/>
      <c r="AN51">
        <v>6.23</v>
      </c>
    </row>
    <row r="52" spans="5:40" x14ac:dyDescent="0.35">
      <c r="E52">
        <v>6.9</v>
      </c>
      <c r="F52">
        <v>6.71</v>
      </c>
      <c r="G52">
        <v>24.1</v>
      </c>
      <c r="P52">
        <v>24.1</v>
      </c>
      <c r="Q52" s="24">
        <v>18.600000000000001</v>
      </c>
      <c r="R52">
        <f t="shared" si="0"/>
        <v>19.600000000000001</v>
      </c>
      <c r="S52">
        <f t="shared" si="1"/>
        <v>1.2922560713564761</v>
      </c>
      <c r="T52">
        <f t="shared" si="6"/>
        <v>45</v>
      </c>
      <c r="U52" s="23">
        <f t="shared" si="2"/>
        <v>0.7142857142857143</v>
      </c>
      <c r="W52">
        <v>0.71</v>
      </c>
      <c r="X52" s="29">
        <v>0.69</v>
      </c>
      <c r="Y52">
        <f t="shared" si="3"/>
        <v>1.69</v>
      </c>
      <c r="Z52">
        <f t="shared" si="4"/>
        <v>0.22788670461367352</v>
      </c>
      <c r="AA52">
        <f t="shared" si="7"/>
        <v>45</v>
      </c>
      <c r="AB52" s="23">
        <f t="shared" si="5"/>
        <v>0.73770491803278693</v>
      </c>
      <c r="AD52" s="22"/>
      <c r="AN52">
        <v>6.25</v>
      </c>
    </row>
    <row r="53" spans="5:40" x14ac:dyDescent="0.35">
      <c r="E53">
        <v>6.73</v>
      </c>
      <c r="F53">
        <v>6.23</v>
      </c>
      <c r="G53">
        <v>26.5</v>
      </c>
      <c r="P53">
        <v>26.5</v>
      </c>
      <c r="Q53" s="24">
        <v>18.5</v>
      </c>
      <c r="R53">
        <f t="shared" si="0"/>
        <v>19.5</v>
      </c>
      <c r="S53">
        <f t="shared" si="1"/>
        <v>1.2900346113625181</v>
      </c>
      <c r="T53">
        <f t="shared" si="6"/>
        <v>46</v>
      </c>
      <c r="U53" s="23">
        <f t="shared" si="2"/>
        <v>0.73015873015873012</v>
      </c>
      <c r="W53">
        <v>0.7</v>
      </c>
      <c r="X53" s="29">
        <v>0.69</v>
      </c>
      <c r="Y53">
        <f t="shared" si="3"/>
        <v>1.69</v>
      </c>
      <c r="Z53">
        <f t="shared" si="4"/>
        <v>0.22788670461367352</v>
      </c>
      <c r="AA53">
        <f t="shared" si="7"/>
        <v>46</v>
      </c>
      <c r="AB53" s="23">
        <f t="shared" si="5"/>
        <v>0.75409836065573765</v>
      </c>
      <c r="AD53" s="22"/>
      <c r="AN53">
        <v>6.3</v>
      </c>
    </row>
    <row r="54" spans="5:40" x14ac:dyDescent="0.35">
      <c r="E54">
        <v>5.83</v>
      </c>
      <c r="F54">
        <v>5.0999999999999996</v>
      </c>
      <c r="G54">
        <v>26.4</v>
      </c>
      <c r="P54">
        <v>26.4</v>
      </c>
      <c r="Q54" s="24">
        <v>18.3</v>
      </c>
      <c r="R54">
        <f t="shared" si="0"/>
        <v>19.3</v>
      </c>
      <c r="S54">
        <f t="shared" si="1"/>
        <v>1.2855573090077739</v>
      </c>
      <c r="T54">
        <f t="shared" si="6"/>
        <v>47</v>
      </c>
      <c r="U54" s="23">
        <f t="shared" si="2"/>
        <v>0.74603174603174605</v>
      </c>
      <c r="W54">
        <v>0.72</v>
      </c>
      <c r="X54" s="29">
        <v>0.69</v>
      </c>
      <c r="Y54">
        <f t="shared" si="3"/>
        <v>1.69</v>
      </c>
      <c r="Z54">
        <f t="shared" si="4"/>
        <v>0.22788670461367352</v>
      </c>
      <c r="AA54">
        <f t="shared" si="7"/>
        <v>47</v>
      </c>
      <c r="AB54" s="23">
        <f t="shared" si="5"/>
        <v>0.77049180327868849</v>
      </c>
      <c r="AD54" s="22"/>
      <c r="AN54">
        <v>6.31</v>
      </c>
    </row>
    <row r="55" spans="5:40" x14ac:dyDescent="0.35">
      <c r="E55">
        <v>6.39</v>
      </c>
      <c r="F55">
        <v>8.32</v>
      </c>
      <c r="G55">
        <v>24.8</v>
      </c>
      <c r="P55">
        <v>24.8</v>
      </c>
      <c r="Q55" s="24">
        <v>18.3</v>
      </c>
      <c r="R55">
        <f t="shared" si="0"/>
        <v>19.3</v>
      </c>
      <c r="S55">
        <f t="shared" si="1"/>
        <v>1.2855573090077739</v>
      </c>
      <c r="T55">
        <f t="shared" si="6"/>
        <v>48</v>
      </c>
      <c r="U55" s="23">
        <f t="shared" si="2"/>
        <v>0.76190476190476186</v>
      </c>
      <c r="W55">
        <v>0.71</v>
      </c>
      <c r="X55" s="29">
        <v>0.68</v>
      </c>
      <c r="Y55">
        <f t="shared" si="3"/>
        <v>1.6800000000000002</v>
      </c>
      <c r="Z55">
        <f t="shared" si="4"/>
        <v>0.2253092817258629</v>
      </c>
      <c r="AA55">
        <f t="shared" si="7"/>
        <v>48</v>
      </c>
      <c r="AB55" s="23">
        <f t="shared" si="5"/>
        <v>0.78688524590163933</v>
      </c>
      <c r="AD55" s="22"/>
      <c r="AN55">
        <v>6.38</v>
      </c>
    </row>
    <row r="56" spans="5:40" x14ac:dyDescent="0.35">
      <c r="E56">
        <v>8.2899999999999991</v>
      </c>
      <c r="F56">
        <v>5.69</v>
      </c>
      <c r="G56">
        <v>25.4</v>
      </c>
      <c r="P56">
        <v>25.4</v>
      </c>
      <c r="Q56" s="24">
        <v>17.8</v>
      </c>
      <c r="R56">
        <f t="shared" si="0"/>
        <v>18.8</v>
      </c>
      <c r="S56">
        <f t="shared" si="1"/>
        <v>1.2741578492636798</v>
      </c>
      <c r="T56">
        <f t="shared" si="6"/>
        <v>49</v>
      </c>
      <c r="U56" s="23">
        <f t="shared" si="2"/>
        <v>0.77777777777777779</v>
      </c>
      <c r="W56">
        <v>1.05</v>
      </c>
      <c r="X56" s="29">
        <v>0.67</v>
      </c>
      <c r="Y56">
        <f t="shared" si="3"/>
        <v>1.67</v>
      </c>
      <c r="Z56">
        <f t="shared" si="4"/>
        <v>0.22271647114758325</v>
      </c>
      <c r="AA56">
        <f t="shared" si="7"/>
        <v>49</v>
      </c>
      <c r="AB56" s="23">
        <f t="shared" si="5"/>
        <v>0.80327868852459017</v>
      </c>
      <c r="AD56" s="22"/>
      <c r="AN56">
        <v>6.38</v>
      </c>
    </row>
    <row r="57" spans="5:40" x14ac:dyDescent="0.35">
      <c r="E57">
        <v>7.13</v>
      </c>
      <c r="F57">
        <v>10.199999999999999</v>
      </c>
      <c r="G57">
        <v>30.5</v>
      </c>
      <c r="P57">
        <v>30.5</v>
      </c>
      <c r="Q57" s="24">
        <v>17.8</v>
      </c>
      <c r="R57">
        <f t="shared" si="0"/>
        <v>18.8</v>
      </c>
      <c r="S57">
        <f t="shared" si="1"/>
        <v>1.2741578492636798</v>
      </c>
      <c r="T57">
        <f t="shared" si="6"/>
        <v>50</v>
      </c>
      <c r="U57" s="23">
        <f t="shared" si="2"/>
        <v>0.79365079365079361</v>
      </c>
      <c r="W57">
        <v>0.78</v>
      </c>
      <c r="X57" s="29">
        <v>0.66</v>
      </c>
      <c r="Y57">
        <f t="shared" si="3"/>
        <v>1.6600000000000001</v>
      </c>
      <c r="Z57">
        <f t="shared" si="4"/>
        <v>0.22010808804005513</v>
      </c>
      <c r="AA57">
        <f t="shared" si="7"/>
        <v>50</v>
      </c>
      <c r="AB57" s="23">
        <f t="shared" si="5"/>
        <v>0.81967213114754101</v>
      </c>
      <c r="AD57" s="22"/>
      <c r="AN57">
        <v>6.39</v>
      </c>
    </row>
    <row r="58" spans="5:40" x14ac:dyDescent="0.35">
      <c r="E58">
        <v>8.14</v>
      </c>
      <c r="G58">
        <v>26.7</v>
      </c>
      <c r="P58">
        <v>26.7</v>
      </c>
      <c r="Q58" s="24">
        <v>17.7</v>
      </c>
      <c r="R58">
        <f t="shared" si="0"/>
        <v>18.7</v>
      </c>
      <c r="S58">
        <f t="shared" si="1"/>
        <v>1.271841606536499</v>
      </c>
      <c r="T58">
        <f t="shared" si="6"/>
        <v>51</v>
      </c>
      <c r="U58" s="23">
        <f t="shared" si="2"/>
        <v>0.80952380952380953</v>
      </c>
      <c r="W58">
        <v>0.72</v>
      </c>
      <c r="X58" s="29">
        <v>0.64</v>
      </c>
      <c r="Y58">
        <f t="shared" si="3"/>
        <v>1.6400000000000001</v>
      </c>
      <c r="Z58">
        <f t="shared" si="4"/>
        <v>0.21484384804769791</v>
      </c>
      <c r="AA58">
        <f t="shared" si="7"/>
        <v>51</v>
      </c>
      <c r="AB58" s="23">
        <f t="shared" si="5"/>
        <v>0.83606557377049184</v>
      </c>
      <c r="AD58" s="22"/>
      <c r="AN58">
        <v>6.4</v>
      </c>
    </row>
    <row r="59" spans="5:40" ht="15" x14ac:dyDescent="0.4">
      <c r="F59" s="6">
        <f>SUM(F8:F57)/50</f>
        <v>6.5134000000000007</v>
      </c>
      <c r="G59">
        <v>17.8</v>
      </c>
      <c r="P59">
        <v>17.8</v>
      </c>
      <c r="Q59" s="24">
        <v>17.600000000000001</v>
      </c>
      <c r="R59">
        <f t="shared" si="0"/>
        <v>18.600000000000001</v>
      </c>
      <c r="S59">
        <f t="shared" si="1"/>
        <v>1.2695129442179163</v>
      </c>
      <c r="T59">
        <f t="shared" si="6"/>
        <v>52</v>
      </c>
      <c r="U59" s="23">
        <f t="shared" si="2"/>
        <v>0.82539682539682535</v>
      </c>
      <c r="W59">
        <v>0.74</v>
      </c>
      <c r="X59" s="29">
        <v>0.62</v>
      </c>
      <c r="Y59">
        <f t="shared" si="3"/>
        <v>1.62</v>
      </c>
      <c r="Z59">
        <f t="shared" si="4"/>
        <v>0.20951501454263097</v>
      </c>
      <c r="AA59">
        <f t="shared" si="7"/>
        <v>52</v>
      </c>
      <c r="AB59" s="23">
        <f t="shared" si="5"/>
        <v>0.85245901639344257</v>
      </c>
      <c r="AD59" s="22"/>
      <c r="AN59">
        <v>6.41</v>
      </c>
    </row>
    <row r="60" spans="5:40" ht="15" x14ac:dyDescent="0.4">
      <c r="E60" s="6">
        <f>SUM(E8:E58)/51</f>
        <v>6.3350980392156844</v>
      </c>
      <c r="G60">
        <v>28.9</v>
      </c>
      <c r="P60">
        <v>28.9</v>
      </c>
      <c r="Q60" s="24">
        <v>17.5</v>
      </c>
      <c r="R60">
        <f t="shared" si="0"/>
        <v>18.5</v>
      </c>
      <c r="S60">
        <f t="shared" si="1"/>
        <v>1.2671717284030137</v>
      </c>
      <c r="T60">
        <f t="shared" si="6"/>
        <v>53</v>
      </c>
      <c r="U60" s="23">
        <f t="shared" si="2"/>
        <v>0.84126984126984128</v>
      </c>
      <c r="W60">
        <v>0.76</v>
      </c>
      <c r="X60" s="29">
        <v>0.61</v>
      </c>
      <c r="Y60">
        <f t="shared" si="3"/>
        <v>1.6099999999999999</v>
      </c>
      <c r="Z60">
        <f t="shared" si="4"/>
        <v>0.20682587603184968</v>
      </c>
      <c r="AA60">
        <f t="shared" si="7"/>
        <v>53</v>
      </c>
      <c r="AB60" s="23">
        <f t="shared" si="5"/>
        <v>0.86885245901639341</v>
      </c>
      <c r="AD60" s="22"/>
      <c r="AN60">
        <v>6.43</v>
      </c>
    </row>
    <row r="61" spans="5:40" x14ac:dyDescent="0.35">
      <c r="G61">
        <v>21.4</v>
      </c>
      <c r="P61">
        <v>21.4</v>
      </c>
      <c r="Q61" s="24">
        <v>17.2</v>
      </c>
      <c r="R61">
        <f t="shared" si="0"/>
        <v>18.2</v>
      </c>
      <c r="S61">
        <f t="shared" si="1"/>
        <v>1.2600713879850747</v>
      </c>
      <c r="T61">
        <f t="shared" si="6"/>
        <v>54</v>
      </c>
      <c r="U61" s="23">
        <f t="shared" si="2"/>
        <v>0.8571428571428571</v>
      </c>
      <c r="W61">
        <v>0.75</v>
      </c>
      <c r="X61" s="29">
        <v>0.61</v>
      </c>
      <c r="Y61">
        <f t="shared" si="3"/>
        <v>1.6099999999999999</v>
      </c>
      <c r="Z61">
        <f t="shared" si="4"/>
        <v>0.20682587603184968</v>
      </c>
      <c r="AA61">
        <f t="shared" si="7"/>
        <v>54</v>
      </c>
      <c r="AB61" s="23">
        <f t="shared" si="5"/>
        <v>0.88524590163934425</v>
      </c>
      <c r="AD61" s="22"/>
      <c r="AN61">
        <v>6.45</v>
      </c>
    </row>
    <row r="62" spans="5:40" x14ac:dyDescent="0.35">
      <c r="G62">
        <v>15</v>
      </c>
      <c r="P62">
        <v>15</v>
      </c>
      <c r="Q62" s="24">
        <v>17</v>
      </c>
      <c r="R62">
        <f t="shared" si="0"/>
        <v>18</v>
      </c>
      <c r="S62">
        <f t="shared" si="1"/>
        <v>1.255272505103306</v>
      </c>
      <c r="T62">
        <f t="shared" si="6"/>
        <v>55</v>
      </c>
      <c r="U62" s="23">
        <f t="shared" si="2"/>
        <v>0.87301587301587302</v>
      </c>
      <c r="W62">
        <v>0.69</v>
      </c>
      <c r="X62" s="29">
        <v>0.61</v>
      </c>
      <c r="Y62">
        <f t="shared" si="3"/>
        <v>1.6099999999999999</v>
      </c>
      <c r="Z62">
        <f t="shared" si="4"/>
        <v>0.20682587603184968</v>
      </c>
      <c r="AA62">
        <f t="shared" si="7"/>
        <v>55</v>
      </c>
      <c r="AB62" s="23">
        <f t="shared" si="5"/>
        <v>0.90163934426229508</v>
      </c>
      <c r="AD62" s="22"/>
      <c r="AN62">
        <v>6.46</v>
      </c>
    </row>
    <row r="63" spans="5:40" x14ac:dyDescent="0.35">
      <c r="G63">
        <v>16.899999999999999</v>
      </c>
      <c r="P63">
        <v>16.899999999999999</v>
      </c>
      <c r="Q63" s="24">
        <v>16.899999999999999</v>
      </c>
      <c r="R63">
        <f t="shared" si="0"/>
        <v>17.899999999999999</v>
      </c>
      <c r="S63">
        <f t="shared" si="1"/>
        <v>1.2528530309798931</v>
      </c>
      <c r="T63">
        <f t="shared" si="6"/>
        <v>56</v>
      </c>
      <c r="U63" s="23">
        <f t="shared" si="2"/>
        <v>0.88888888888888884</v>
      </c>
      <c r="W63">
        <v>0.74</v>
      </c>
      <c r="X63">
        <v>0.56999999999999995</v>
      </c>
      <c r="Y63">
        <f t="shared" si="3"/>
        <v>1.5699999999999998</v>
      </c>
      <c r="Z63">
        <f t="shared" si="4"/>
        <v>0.19589965240923368</v>
      </c>
      <c r="AA63">
        <f t="shared" si="7"/>
        <v>56</v>
      </c>
      <c r="AB63" s="23">
        <f t="shared" si="5"/>
        <v>0.91803278688524592</v>
      </c>
      <c r="AD63" s="22"/>
      <c r="AN63">
        <v>6.48</v>
      </c>
    </row>
    <row r="64" spans="5:40" x14ac:dyDescent="0.35">
      <c r="G64">
        <v>28.1</v>
      </c>
      <c r="P64">
        <v>28.1</v>
      </c>
      <c r="Q64" s="24">
        <v>16.899999999999999</v>
      </c>
      <c r="R64">
        <f t="shared" si="0"/>
        <v>17.899999999999999</v>
      </c>
      <c r="S64">
        <f t="shared" si="1"/>
        <v>1.2528530309798931</v>
      </c>
      <c r="T64">
        <f t="shared" si="6"/>
        <v>57</v>
      </c>
      <c r="U64" s="23">
        <f t="shared" si="2"/>
        <v>0.90476190476190477</v>
      </c>
      <c r="W64">
        <v>0.72</v>
      </c>
      <c r="X64">
        <v>0.54</v>
      </c>
      <c r="Y64">
        <f t="shared" si="3"/>
        <v>1.54</v>
      </c>
      <c r="Z64">
        <f t="shared" si="4"/>
        <v>0.18752072083646307</v>
      </c>
      <c r="AA64">
        <f t="shared" si="7"/>
        <v>57</v>
      </c>
      <c r="AB64" s="23">
        <f t="shared" si="5"/>
        <v>0.93442622950819676</v>
      </c>
      <c r="AD64" s="22"/>
      <c r="AN64">
        <v>6.51</v>
      </c>
    </row>
    <row r="65" spans="7:40" x14ac:dyDescent="0.35">
      <c r="G65">
        <v>31.5</v>
      </c>
      <c r="P65">
        <v>31.5</v>
      </c>
      <c r="Q65" s="24">
        <v>16.7</v>
      </c>
      <c r="R65">
        <f t="shared" si="0"/>
        <v>17.7</v>
      </c>
      <c r="S65">
        <f t="shared" si="1"/>
        <v>1.2479732663618066</v>
      </c>
      <c r="T65">
        <f t="shared" si="6"/>
        <v>58</v>
      </c>
      <c r="U65" s="23">
        <f t="shared" si="2"/>
        <v>0.92063492063492058</v>
      </c>
      <c r="W65">
        <v>0.88</v>
      </c>
      <c r="X65">
        <v>0.5</v>
      </c>
      <c r="Y65">
        <f t="shared" si="3"/>
        <v>1.5</v>
      </c>
      <c r="Z65">
        <f t="shared" si="4"/>
        <v>0.17609125905568124</v>
      </c>
      <c r="AA65">
        <f t="shared" si="7"/>
        <v>58</v>
      </c>
      <c r="AB65" s="23">
        <f t="shared" si="5"/>
        <v>0.95081967213114749</v>
      </c>
      <c r="AD65" s="22"/>
      <c r="AN65">
        <v>6.52</v>
      </c>
    </row>
    <row r="66" spans="7:40" x14ac:dyDescent="0.35">
      <c r="G66">
        <v>27.6</v>
      </c>
      <c r="P66">
        <v>27.6</v>
      </c>
      <c r="Q66" s="24">
        <v>16.600000000000001</v>
      </c>
      <c r="R66">
        <f t="shared" si="0"/>
        <v>17.600000000000001</v>
      </c>
      <c r="S66">
        <f t="shared" si="1"/>
        <v>1.2455126678141499</v>
      </c>
      <c r="T66">
        <f t="shared" si="6"/>
        <v>59</v>
      </c>
      <c r="U66" s="23">
        <f t="shared" si="2"/>
        <v>0.93650793650793651</v>
      </c>
      <c r="W66">
        <v>0.99</v>
      </c>
      <c r="X66">
        <v>0.5</v>
      </c>
      <c r="Y66">
        <f t="shared" si="3"/>
        <v>1.5</v>
      </c>
      <c r="Z66">
        <f t="shared" si="4"/>
        <v>0.17609125905568124</v>
      </c>
      <c r="AA66">
        <f t="shared" si="7"/>
        <v>59</v>
      </c>
      <c r="AB66" s="23">
        <f t="shared" si="5"/>
        <v>0.96721311475409832</v>
      </c>
      <c r="AD66" s="22"/>
      <c r="AN66">
        <v>6.53</v>
      </c>
    </row>
    <row r="67" spans="7:40" x14ac:dyDescent="0.35">
      <c r="G67">
        <v>21.4</v>
      </c>
      <c r="P67">
        <v>21.4</v>
      </c>
      <c r="Q67" s="24">
        <v>16.3</v>
      </c>
      <c r="R67">
        <f t="shared" si="0"/>
        <v>17.3</v>
      </c>
      <c r="S67">
        <f t="shared" si="1"/>
        <v>1.2380461031287955</v>
      </c>
      <c r="T67">
        <f t="shared" si="6"/>
        <v>60</v>
      </c>
      <c r="U67" s="23">
        <f t="shared" si="2"/>
        <v>0.95238095238095233</v>
      </c>
      <c r="W67">
        <v>0.7</v>
      </c>
      <c r="X67">
        <v>0.5</v>
      </c>
      <c r="Y67">
        <f t="shared" si="3"/>
        <v>1.5</v>
      </c>
      <c r="Z67">
        <f t="shared" si="4"/>
        <v>0.17609125905568124</v>
      </c>
      <c r="AA67">
        <f t="shared" si="7"/>
        <v>60</v>
      </c>
      <c r="AB67" s="23">
        <f t="shared" si="5"/>
        <v>0.98360655737704916</v>
      </c>
      <c r="AD67" s="22"/>
      <c r="AN67">
        <v>6.6</v>
      </c>
    </row>
    <row r="68" spans="7:40" x14ac:dyDescent="0.35">
      <c r="G68">
        <v>31.5</v>
      </c>
      <c r="P68">
        <v>31.5</v>
      </c>
      <c r="Q68" s="24">
        <v>15</v>
      </c>
      <c r="R68">
        <f t="shared" si="0"/>
        <v>16</v>
      </c>
      <c r="S68">
        <f t="shared" si="1"/>
        <v>1.2041199826559248</v>
      </c>
      <c r="T68">
        <f t="shared" si="6"/>
        <v>61</v>
      </c>
      <c r="U68" s="23">
        <f t="shared" si="2"/>
        <v>0.96825396825396826</v>
      </c>
      <c r="W68">
        <v>1.1299999999999999</v>
      </c>
      <c r="X68">
        <v>0.46</v>
      </c>
      <c r="Y68">
        <f t="shared" si="3"/>
        <v>1.46</v>
      </c>
      <c r="Z68">
        <f t="shared" si="4"/>
        <v>0.16435285578443709</v>
      </c>
      <c r="AA68">
        <f t="shared" si="7"/>
        <v>61</v>
      </c>
      <c r="AB68" s="23">
        <f t="shared" si="5"/>
        <v>1</v>
      </c>
      <c r="AD68" s="22"/>
      <c r="AN68">
        <v>6.65</v>
      </c>
    </row>
    <row r="69" spans="7:40" x14ac:dyDescent="0.35">
      <c r="G69">
        <v>22.3</v>
      </c>
      <c r="P69">
        <v>22.3</v>
      </c>
      <c r="Q69" s="24">
        <v>13.3</v>
      </c>
      <c r="R69">
        <f t="shared" si="0"/>
        <v>14.3</v>
      </c>
      <c r="S69">
        <f t="shared" si="1"/>
        <v>1.1553360374650619</v>
      </c>
      <c r="T69">
        <f t="shared" si="6"/>
        <v>62</v>
      </c>
      <c r="U69" s="23">
        <f t="shared" si="2"/>
        <v>0.98412698412698407</v>
      </c>
      <c r="AN69">
        <v>6.71</v>
      </c>
    </row>
    <row r="70" spans="7:40" x14ac:dyDescent="0.35">
      <c r="G70">
        <v>17.2</v>
      </c>
      <c r="P70">
        <v>17.2</v>
      </c>
      <c r="Q70">
        <v>0.22</v>
      </c>
      <c r="R70">
        <f t="shared" si="0"/>
        <v>1.22</v>
      </c>
      <c r="S70">
        <f t="shared" si="1"/>
        <v>8.6359830674748214E-2</v>
      </c>
      <c r="T70">
        <f t="shared" si="6"/>
        <v>63</v>
      </c>
      <c r="U70" s="23">
        <f t="shared" si="2"/>
        <v>1</v>
      </c>
      <c r="AN70">
        <v>6.71</v>
      </c>
    </row>
    <row r="71" spans="7:40" x14ac:dyDescent="0.35">
      <c r="AN71">
        <v>6.73</v>
      </c>
    </row>
    <row r="72" spans="7:40" ht="15" x14ac:dyDescent="0.4">
      <c r="G72" s="6">
        <f>SUM(G8:G70)/63</f>
        <v>21.965396825396827</v>
      </c>
      <c r="AN72">
        <v>6.75</v>
      </c>
    </row>
    <row r="73" spans="7:40" x14ac:dyDescent="0.35">
      <c r="AN73">
        <v>6.8</v>
      </c>
    </row>
    <row r="74" spans="7:40" x14ac:dyDescent="0.35">
      <c r="AN74">
        <v>6.82</v>
      </c>
    </row>
    <row r="75" spans="7:40" x14ac:dyDescent="0.35">
      <c r="AN75">
        <v>6.9</v>
      </c>
    </row>
    <row r="76" spans="7:40" x14ac:dyDescent="0.35">
      <c r="AN76">
        <v>7.06</v>
      </c>
    </row>
    <row r="77" spans="7:40" x14ac:dyDescent="0.35">
      <c r="AN77">
        <v>7.09</v>
      </c>
    </row>
    <row r="78" spans="7:40" x14ac:dyDescent="0.35">
      <c r="AN78">
        <v>7.13</v>
      </c>
    </row>
    <row r="79" spans="7:40" x14ac:dyDescent="0.35">
      <c r="AN79">
        <v>7.14</v>
      </c>
    </row>
    <row r="80" spans="7:40" x14ac:dyDescent="0.35">
      <c r="AN80">
        <v>7.21</v>
      </c>
    </row>
    <row r="81" spans="40:40" x14ac:dyDescent="0.35">
      <c r="AN81">
        <v>7.24</v>
      </c>
    </row>
    <row r="82" spans="40:40" x14ac:dyDescent="0.35">
      <c r="AN82">
        <v>7.26</v>
      </c>
    </row>
    <row r="83" spans="40:40" x14ac:dyDescent="0.35">
      <c r="AN83">
        <v>7.31</v>
      </c>
    </row>
    <row r="84" spans="40:40" x14ac:dyDescent="0.35">
      <c r="AN84">
        <v>7.32</v>
      </c>
    </row>
    <row r="85" spans="40:40" x14ac:dyDescent="0.35">
      <c r="AN85">
        <v>7.47</v>
      </c>
    </row>
    <row r="86" spans="40:40" x14ac:dyDescent="0.35">
      <c r="AN86">
        <v>7.51</v>
      </c>
    </row>
    <row r="87" spans="40:40" x14ac:dyDescent="0.35">
      <c r="AN87">
        <v>7.61</v>
      </c>
    </row>
    <row r="88" spans="40:40" x14ac:dyDescent="0.35">
      <c r="AN88">
        <v>7.61</v>
      </c>
    </row>
    <row r="89" spans="40:40" x14ac:dyDescent="0.35">
      <c r="AN89">
        <v>7.72</v>
      </c>
    </row>
    <row r="90" spans="40:40" x14ac:dyDescent="0.35">
      <c r="AN90">
        <v>7.79</v>
      </c>
    </row>
    <row r="91" spans="40:40" x14ac:dyDescent="0.35">
      <c r="AN91">
        <v>8.14</v>
      </c>
    </row>
    <row r="92" spans="40:40" x14ac:dyDescent="0.35">
      <c r="AN92">
        <v>8.2899999999999991</v>
      </c>
    </row>
    <row r="93" spans="40:40" x14ac:dyDescent="0.35">
      <c r="AN93">
        <v>8.32</v>
      </c>
    </row>
    <row r="94" spans="40:40" x14ac:dyDescent="0.35">
      <c r="AN94">
        <v>8.32</v>
      </c>
    </row>
    <row r="95" spans="40:40" x14ac:dyDescent="0.35">
      <c r="AN95">
        <v>8.3699999999999992</v>
      </c>
    </row>
    <row r="96" spans="40:40" x14ac:dyDescent="0.35">
      <c r="AN96">
        <v>8.56</v>
      </c>
    </row>
    <row r="97" spans="40:40" x14ac:dyDescent="0.35">
      <c r="AN97">
        <v>8.65</v>
      </c>
    </row>
    <row r="98" spans="40:40" x14ac:dyDescent="0.35">
      <c r="AN98">
        <v>8.77</v>
      </c>
    </row>
    <row r="99" spans="40:40" x14ac:dyDescent="0.35">
      <c r="AN99">
        <v>9.14</v>
      </c>
    </row>
    <row r="100" spans="40:40" x14ac:dyDescent="0.35">
      <c r="AN100">
        <v>9.17</v>
      </c>
    </row>
    <row r="101" spans="40:40" x14ac:dyDescent="0.35">
      <c r="AN101">
        <v>9.18</v>
      </c>
    </row>
    <row r="102" spans="40:40" x14ac:dyDescent="0.35">
      <c r="AN102">
        <v>9.69</v>
      </c>
    </row>
    <row r="103" spans="40:40" x14ac:dyDescent="0.35">
      <c r="AN103">
        <v>9.6999999999999993</v>
      </c>
    </row>
    <row r="104" spans="40:40" x14ac:dyDescent="0.35">
      <c r="AN104">
        <v>10.199999999999999</v>
      </c>
    </row>
    <row r="105" spans="40:40" x14ac:dyDescent="0.35">
      <c r="AN105">
        <v>11.5</v>
      </c>
    </row>
    <row r="106" spans="40:40" x14ac:dyDescent="0.35">
      <c r="AN106">
        <v>11.9</v>
      </c>
    </row>
    <row r="107" spans="40:40" x14ac:dyDescent="0.35">
      <c r="AN107">
        <v>12.6</v>
      </c>
    </row>
  </sheetData>
  <sortState ref="AN7:AN107">
    <sortCondition ref="AN7"/>
  </sortState>
  <mergeCells count="3">
    <mergeCell ref="AG4:AH4"/>
    <mergeCell ref="AD4:AE4"/>
    <mergeCell ref="AJ4:AK4"/>
  </mergeCells>
  <phoneticPr fontId="1" type="noConversion"/>
  <pageMargins left="0.75" right="0.75" top="1" bottom="1" header="0.5" footer="0.5"/>
  <headerFooter alignWithMargins="0"/>
  <ignoredErrors>
    <ignoredError sqref="R6 Y6" numberStoredAsText="1"/>
    <ignoredError sqref="AG9" twoDigitTextYear="1"/>
  </ignoredErrors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3"/>
  <sheetViews>
    <sheetView topLeftCell="D1" workbookViewId="0">
      <selection activeCell="E64" sqref="E64"/>
    </sheetView>
  </sheetViews>
  <sheetFormatPr defaultRowHeight="12.75" x14ac:dyDescent="0.35"/>
  <cols>
    <col min="1" max="1" width="13.796875" customWidth="1"/>
    <col min="11" max="11" width="8.796875" style="22"/>
  </cols>
  <sheetData>
    <row r="1" spans="1:19" x14ac:dyDescent="0.35">
      <c r="A1" t="s">
        <v>0</v>
      </c>
    </row>
    <row r="2" spans="1:19" x14ac:dyDescent="0.35">
      <c r="A2" t="s">
        <v>91</v>
      </c>
    </row>
    <row r="3" spans="1:19" x14ac:dyDescent="0.35">
      <c r="A3" t="s">
        <v>4</v>
      </c>
      <c r="B3" s="3" t="s">
        <v>37</v>
      </c>
      <c r="C3" s="3" t="s">
        <v>76</v>
      </c>
      <c r="D3" s="3" t="s">
        <v>80</v>
      </c>
      <c r="E3" s="3" t="s">
        <v>89</v>
      </c>
      <c r="F3" s="3"/>
      <c r="G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5">
      <c r="A4" t="s">
        <v>2</v>
      </c>
      <c r="B4">
        <v>434853</v>
      </c>
      <c r="C4">
        <v>506099</v>
      </c>
      <c r="D4">
        <v>426910</v>
      </c>
      <c r="E4">
        <v>397689</v>
      </c>
      <c r="H4" s="18" t="s">
        <v>313</v>
      </c>
      <c r="I4" s="18" t="s">
        <v>158</v>
      </c>
    </row>
    <row r="5" spans="1:19" x14ac:dyDescent="0.35">
      <c r="A5" t="s">
        <v>1</v>
      </c>
      <c r="B5">
        <v>5443204</v>
      </c>
      <c r="C5">
        <v>5461088</v>
      </c>
      <c r="D5">
        <v>5445676</v>
      </c>
      <c r="E5">
        <v>5458744</v>
      </c>
      <c r="K5" s="17" t="s">
        <v>280</v>
      </c>
      <c r="L5" s="35" t="s">
        <v>34</v>
      </c>
    </row>
    <row r="6" spans="1:19" x14ac:dyDescent="0.35">
      <c r="K6" s="3"/>
      <c r="L6" s="16"/>
    </row>
    <row r="7" spans="1:19" x14ac:dyDescent="0.35">
      <c r="B7">
        <v>4</v>
      </c>
      <c r="C7">
        <v>18.399999999999999</v>
      </c>
      <c r="D7">
        <v>2.76</v>
      </c>
      <c r="E7">
        <v>1.43</v>
      </c>
      <c r="H7">
        <v>4</v>
      </c>
      <c r="I7">
        <v>0.61</v>
      </c>
      <c r="K7" s="17" t="s">
        <v>314</v>
      </c>
      <c r="L7" s="40">
        <f>COUNTIF(I$7:I$193,"&gt;=0")-COUNTIF(I$7:I$193,"&gt;0.499")</f>
        <v>0</v>
      </c>
    </row>
    <row r="8" spans="1:19" x14ac:dyDescent="0.35">
      <c r="B8">
        <v>3.54</v>
      </c>
      <c r="C8">
        <v>2.2599999999999998</v>
      </c>
      <c r="D8">
        <v>2.73</v>
      </c>
      <c r="E8">
        <v>1.51</v>
      </c>
      <c r="H8">
        <v>3.54</v>
      </c>
      <c r="I8">
        <v>0.74</v>
      </c>
      <c r="K8" s="17" t="s">
        <v>315</v>
      </c>
      <c r="L8" s="40">
        <f>COUNTIF(I$7:I$193,"&gt;=0.5")-COUNTIF(I$7:I$193,"&gt;0.999")</f>
        <v>8</v>
      </c>
    </row>
    <row r="9" spans="1:19" x14ac:dyDescent="0.35">
      <c r="B9">
        <v>4.96</v>
      </c>
      <c r="C9">
        <v>1.86</v>
      </c>
      <c r="D9">
        <v>2.85</v>
      </c>
      <c r="E9">
        <v>2.31</v>
      </c>
      <c r="H9">
        <v>4.96</v>
      </c>
      <c r="I9">
        <v>0.75</v>
      </c>
      <c r="K9" s="17" t="s">
        <v>316</v>
      </c>
      <c r="L9" s="40">
        <f>COUNTIF(I$7:I$193,"&gt;=1.0")-COUNTIF(I$7:I$193,"&gt;1.499")</f>
        <v>18</v>
      </c>
    </row>
    <row r="10" spans="1:19" x14ac:dyDescent="0.35">
      <c r="B10">
        <v>4.3600000000000003</v>
      </c>
      <c r="C10">
        <v>2.9</v>
      </c>
      <c r="D10">
        <v>2.06</v>
      </c>
      <c r="E10">
        <v>2.78</v>
      </c>
      <c r="H10">
        <v>4.3600000000000003</v>
      </c>
      <c r="I10">
        <v>0.77</v>
      </c>
      <c r="K10" s="17" t="s">
        <v>317</v>
      </c>
      <c r="L10" s="40">
        <f>COUNTIF(I$7:I$193,"&gt;=1.50")-COUNTIF(I$7:I$193,"&gt;1.999")</f>
        <v>24</v>
      </c>
    </row>
    <row r="11" spans="1:19" x14ac:dyDescent="0.35">
      <c r="B11">
        <v>3.26</v>
      </c>
      <c r="C11">
        <v>2.23</v>
      </c>
      <c r="D11">
        <v>2.58</v>
      </c>
      <c r="E11">
        <v>1.55</v>
      </c>
      <c r="H11">
        <v>3.26</v>
      </c>
      <c r="I11">
        <v>0.81</v>
      </c>
      <c r="K11" s="17" t="s">
        <v>318</v>
      </c>
      <c r="L11" s="40">
        <f>COUNTIF(I$7:I$193,"&gt;=2.0")-COUNTIF(I$7:I$193,"&gt;2.499")</f>
        <v>36</v>
      </c>
    </row>
    <row r="12" spans="1:19" x14ac:dyDescent="0.35">
      <c r="B12">
        <v>1.29</v>
      </c>
      <c r="C12">
        <v>4.42</v>
      </c>
      <c r="D12">
        <v>3.25</v>
      </c>
      <c r="E12">
        <v>1.29</v>
      </c>
      <c r="H12">
        <v>1.29</v>
      </c>
      <c r="I12">
        <v>0.82</v>
      </c>
      <c r="K12" s="17" t="s">
        <v>319</v>
      </c>
      <c r="L12" s="40">
        <f>COUNTIF(I$7:I$193,"&gt;=2.5")-COUNTIF(I$7:I$193,"&gt;2.999")</f>
        <v>46</v>
      </c>
    </row>
    <row r="13" spans="1:19" x14ac:dyDescent="0.35">
      <c r="B13">
        <v>2.71</v>
      </c>
      <c r="C13">
        <v>2.68</v>
      </c>
      <c r="D13">
        <v>1.98</v>
      </c>
      <c r="E13">
        <v>1.96</v>
      </c>
      <c r="H13">
        <v>2.71</v>
      </c>
      <c r="I13">
        <v>0.83</v>
      </c>
      <c r="K13" s="17" t="s">
        <v>320</v>
      </c>
      <c r="L13" s="40">
        <f>COUNTIF(I$7:I$193,"&gt;=3.0")-COUNTIF(I$7:I$193,"&gt;3.499")</f>
        <v>28</v>
      </c>
    </row>
    <row r="14" spans="1:19" x14ac:dyDescent="0.35">
      <c r="B14">
        <v>5.19</v>
      </c>
      <c r="C14">
        <v>3.49</v>
      </c>
      <c r="D14">
        <v>2.4300000000000002</v>
      </c>
      <c r="E14">
        <v>3.1</v>
      </c>
      <c r="H14">
        <v>5.19</v>
      </c>
      <c r="I14">
        <v>0.93</v>
      </c>
      <c r="K14" s="17" t="s">
        <v>321</v>
      </c>
      <c r="L14" s="40">
        <f>COUNTIF(I$7:I$193,"&gt;=3.5")-COUNTIF(I$7:I$193,"&gt;3.999")</f>
        <v>14</v>
      </c>
    </row>
    <row r="15" spans="1:19" x14ac:dyDescent="0.35">
      <c r="B15">
        <v>5.18</v>
      </c>
      <c r="C15">
        <v>1.69</v>
      </c>
      <c r="D15">
        <v>2.81</v>
      </c>
      <c r="E15">
        <v>4.45</v>
      </c>
      <c r="H15">
        <v>5.18</v>
      </c>
      <c r="I15">
        <v>1</v>
      </c>
      <c r="K15" s="17" t="s">
        <v>322</v>
      </c>
      <c r="L15" s="40">
        <f>COUNTIF(I$7:I$193,"&gt;=4.0")-COUNTIF(I$7:I$193,"&gt;4.499")</f>
        <v>8</v>
      </c>
    </row>
    <row r="16" spans="1:19" x14ac:dyDescent="0.35">
      <c r="B16">
        <v>4.1500000000000004</v>
      </c>
      <c r="C16">
        <v>1.76</v>
      </c>
      <c r="D16">
        <v>2.73</v>
      </c>
      <c r="E16">
        <v>2.33</v>
      </c>
      <c r="H16">
        <v>4.1500000000000004</v>
      </c>
      <c r="I16">
        <v>1.07</v>
      </c>
      <c r="K16" s="17" t="s">
        <v>323</v>
      </c>
      <c r="L16" s="40">
        <f>COUNTIF(I$7:I$193,"&gt;=4.5")-COUNTIF(I$7:I$193,"&gt;4.999")</f>
        <v>2</v>
      </c>
    </row>
    <row r="17" spans="2:12" x14ac:dyDescent="0.35">
      <c r="B17">
        <v>2.85</v>
      </c>
      <c r="C17">
        <v>3.89</v>
      </c>
      <c r="D17">
        <v>1.76</v>
      </c>
      <c r="E17">
        <v>1.62</v>
      </c>
      <c r="H17">
        <v>2.85</v>
      </c>
      <c r="I17">
        <v>1.08</v>
      </c>
      <c r="K17" s="17" t="s">
        <v>324</v>
      </c>
      <c r="L17" s="40">
        <f>COUNTIF(I$7:I$193,"&gt;=5.0")-COUNTIF(I$7:I$193,"&gt;5.499")</f>
        <v>2</v>
      </c>
    </row>
    <row r="18" spans="2:12" x14ac:dyDescent="0.35">
      <c r="B18">
        <v>0.61</v>
      </c>
      <c r="C18">
        <v>2.52</v>
      </c>
      <c r="D18">
        <v>3</v>
      </c>
      <c r="E18">
        <v>0.77</v>
      </c>
      <c r="H18">
        <v>0.61</v>
      </c>
      <c r="I18">
        <v>1.1100000000000001</v>
      </c>
      <c r="K18" s="17" t="s">
        <v>325</v>
      </c>
      <c r="L18" s="40">
        <f>COUNTIF(I$7:I$193,"&gt;=5.5")-COUNTIF(I$7:I$193,"&gt;5.999")</f>
        <v>0</v>
      </c>
    </row>
    <row r="19" spans="2:12" x14ac:dyDescent="0.35">
      <c r="B19">
        <v>1.63</v>
      </c>
      <c r="C19">
        <v>2.78</v>
      </c>
      <c r="D19">
        <v>2.19</v>
      </c>
      <c r="E19">
        <v>1</v>
      </c>
      <c r="H19">
        <v>1.63</v>
      </c>
      <c r="I19">
        <v>1.1399999999999999</v>
      </c>
      <c r="K19" s="17" t="s">
        <v>326</v>
      </c>
      <c r="L19" s="40">
        <f>COUNTIF(I$7:I$193,"&gt;=6.0")</f>
        <v>1</v>
      </c>
    </row>
    <row r="20" spans="2:12" x14ac:dyDescent="0.35">
      <c r="B20">
        <v>2.0699999999999998</v>
      </c>
      <c r="C20">
        <v>2.69</v>
      </c>
      <c r="D20">
        <v>3.09</v>
      </c>
      <c r="E20">
        <v>2.98</v>
      </c>
      <c r="H20">
        <v>2.0699999999999998</v>
      </c>
      <c r="I20">
        <v>1.1599999999999999</v>
      </c>
      <c r="K20" s="3"/>
      <c r="L20" s="16"/>
    </row>
    <row r="21" spans="2:12" x14ac:dyDescent="0.35">
      <c r="C21">
        <v>3.23</v>
      </c>
      <c r="D21">
        <v>2.54</v>
      </c>
      <c r="E21">
        <v>1.24</v>
      </c>
      <c r="H21">
        <v>18.399999999999999</v>
      </c>
      <c r="I21">
        <v>1.17</v>
      </c>
      <c r="K21" s="3"/>
      <c r="L21" s="16"/>
    </row>
    <row r="22" spans="2:12" ht="15" x14ac:dyDescent="0.4">
      <c r="B22" s="6">
        <f>SUM(B7:B20)/14</f>
        <v>3.2714285714285714</v>
      </c>
      <c r="C22">
        <v>4.24</v>
      </c>
      <c r="D22">
        <v>2.62</v>
      </c>
      <c r="E22">
        <v>2.1</v>
      </c>
      <c r="H22">
        <v>2.2599999999999998</v>
      </c>
      <c r="I22">
        <v>1.22</v>
      </c>
      <c r="K22" s="3"/>
      <c r="L22" s="16"/>
    </row>
    <row r="23" spans="2:12" x14ac:dyDescent="0.35">
      <c r="C23">
        <v>3.22</v>
      </c>
      <c r="D23">
        <v>2.84</v>
      </c>
      <c r="E23">
        <v>0.75</v>
      </c>
      <c r="H23">
        <v>1.86</v>
      </c>
      <c r="I23">
        <v>1.22</v>
      </c>
      <c r="K23" s="3"/>
      <c r="L23" s="16"/>
    </row>
    <row r="24" spans="2:12" x14ac:dyDescent="0.35">
      <c r="C24">
        <v>1.8</v>
      </c>
      <c r="D24">
        <v>2.89</v>
      </c>
      <c r="E24">
        <v>1.22</v>
      </c>
      <c r="H24">
        <v>2.9</v>
      </c>
      <c r="I24">
        <v>1.24</v>
      </c>
      <c r="K24" s="3"/>
      <c r="L24" s="16"/>
    </row>
    <row r="25" spans="2:12" x14ac:dyDescent="0.35">
      <c r="C25">
        <v>2.54</v>
      </c>
      <c r="D25">
        <v>3.28</v>
      </c>
      <c r="E25">
        <v>1.67</v>
      </c>
      <c r="H25">
        <v>2.23</v>
      </c>
      <c r="I25">
        <v>1.26</v>
      </c>
      <c r="K25" s="3"/>
      <c r="L25" s="16"/>
    </row>
    <row r="26" spans="2:12" x14ac:dyDescent="0.35">
      <c r="C26">
        <v>2.14</v>
      </c>
      <c r="D26">
        <v>3.01</v>
      </c>
      <c r="E26">
        <v>2.4700000000000002</v>
      </c>
      <c r="H26">
        <v>4.42</v>
      </c>
      <c r="I26">
        <v>1.27</v>
      </c>
      <c r="K26" s="3"/>
      <c r="L26" s="16"/>
    </row>
    <row r="27" spans="2:12" x14ac:dyDescent="0.35">
      <c r="C27">
        <v>2.61</v>
      </c>
      <c r="D27">
        <v>1.88</v>
      </c>
      <c r="E27">
        <v>2.2000000000000002</v>
      </c>
      <c r="H27">
        <v>2.68</v>
      </c>
      <c r="I27">
        <v>1.29</v>
      </c>
      <c r="K27" s="3"/>
      <c r="L27" s="16"/>
    </row>
    <row r="28" spans="2:12" x14ac:dyDescent="0.35">
      <c r="C28">
        <v>2.4500000000000002</v>
      </c>
      <c r="D28">
        <v>1.92</v>
      </c>
      <c r="E28">
        <v>1.17</v>
      </c>
      <c r="H28">
        <v>3.49</v>
      </c>
      <c r="I28">
        <v>1.29</v>
      </c>
      <c r="K28" s="3"/>
      <c r="L28" s="16"/>
    </row>
    <row r="29" spans="2:12" x14ac:dyDescent="0.35">
      <c r="C29">
        <v>1.87</v>
      </c>
      <c r="D29">
        <v>1.92</v>
      </c>
      <c r="E29">
        <v>1.07</v>
      </c>
      <c r="H29">
        <v>1.69</v>
      </c>
      <c r="I29">
        <v>1.3</v>
      </c>
      <c r="K29" s="3"/>
      <c r="L29" s="16"/>
    </row>
    <row r="30" spans="2:12" x14ac:dyDescent="0.35">
      <c r="C30">
        <v>2.69</v>
      </c>
      <c r="D30">
        <v>2.52</v>
      </c>
      <c r="E30">
        <v>2.72</v>
      </c>
      <c r="H30">
        <v>1.76</v>
      </c>
      <c r="I30">
        <v>1.42</v>
      </c>
      <c r="K30" s="3"/>
      <c r="L30" s="16"/>
    </row>
    <row r="31" spans="2:12" x14ac:dyDescent="0.35">
      <c r="C31">
        <v>2.58</v>
      </c>
      <c r="D31">
        <v>2.5099999999999998</v>
      </c>
      <c r="E31">
        <v>1.52</v>
      </c>
      <c r="H31">
        <v>3.89</v>
      </c>
      <c r="I31">
        <v>1.43</v>
      </c>
      <c r="K31" s="3"/>
      <c r="L31" s="16"/>
    </row>
    <row r="32" spans="2:12" x14ac:dyDescent="0.35">
      <c r="C32">
        <v>4.4800000000000004</v>
      </c>
      <c r="D32">
        <v>2.81</v>
      </c>
      <c r="E32">
        <v>1.51</v>
      </c>
      <c r="H32">
        <v>2.52</v>
      </c>
      <c r="I32">
        <v>1.47</v>
      </c>
      <c r="K32" s="3"/>
      <c r="L32" s="16"/>
    </row>
    <row r="33" spans="3:12" x14ac:dyDescent="0.35">
      <c r="C33">
        <v>2.96</v>
      </c>
      <c r="D33">
        <v>3.67</v>
      </c>
      <c r="E33">
        <v>3.17</v>
      </c>
      <c r="H33">
        <v>2.78</v>
      </c>
      <c r="I33">
        <v>1.51</v>
      </c>
      <c r="K33" s="3"/>
      <c r="L33" s="16"/>
    </row>
    <row r="34" spans="3:12" x14ac:dyDescent="0.35">
      <c r="C34">
        <v>2.25</v>
      </c>
      <c r="D34">
        <v>2.44</v>
      </c>
      <c r="E34">
        <v>2.94</v>
      </c>
      <c r="H34">
        <v>2.69</v>
      </c>
      <c r="I34">
        <v>1.51</v>
      </c>
    </row>
    <row r="35" spans="3:12" x14ac:dyDescent="0.35">
      <c r="C35">
        <v>2.61</v>
      </c>
      <c r="D35">
        <v>3.3</v>
      </c>
      <c r="E35">
        <v>3.1</v>
      </c>
      <c r="H35">
        <v>3.23</v>
      </c>
      <c r="I35">
        <v>1.52</v>
      </c>
    </row>
    <row r="36" spans="3:12" x14ac:dyDescent="0.35">
      <c r="C36">
        <v>3.63</v>
      </c>
      <c r="D36">
        <v>3.22</v>
      </c>
      <c r="E36">
        <v>3.86</v>
      </c>
      <c r="H36">
        <v>4.24</v>
      </c>
      <c r="I36">
        <v>1.55</v>
      </c>
    </row>
    <row r="37" spans="3:12" x14ac:dyDescent="0.35">
      <c r="C37">
        <v>2.63</v>
      </c>
      <c r="D37">
        <v>3.77</v>
      </c>
      <c r="E37">
        <v>3.46</v>
      </c>
      <c r="H37">
        <v>3.22</v>
      </c>
      <c r="I37">
        <v>1.59</v>
      </c>
    </row>
    <row r="38" spans="3:12" x14ac:dyDescent="0.35">
      <c r="C38">
        <v>2.81</v>
      </c>
      <c r="D38">
        <v>3.53</v>
      </c>
      <c r="E38">
        <v>2.95</v>
      </c>
      <c r="H38">
        <v>1.8</v>
      </c>
      <c r="I38">
        <v>1.62</v>
      </c>
    </row>
    <row r="39" spans="3:12" x14ac:dyDescent="0.35">
      <c r="C39">
        <v>2.34</v>
      </c>
      <c r="D39">
        <v>2.2799999999999998</v>
      </c>
      <c r="E39">
        <v>2.89</v>
      </c>
      <c r="H39">
        <v>2.54</v>
      </c>
      <c r="I39">
        <v>1.63</v>
      </c>
    </row>
    <row r="40" spans="3:12" x14ac:dyDescent="0.35">
      <c r="C40">
        <v>4.8499999999999996</v>
      </c>
      <c r="D40">
        <v>2.79</v>
      </c>
      <c r="E40">
        <v>1.47</v>
      </c>
      <c r="H40">
        <v>2.14</v>
      </c>
      <c r="I40">
        <v>1.67</v>
      </c>
    </row>
    <row r="41" spans="3:12" x14ac:dyDescent="0.35">
      <c r="C41">
        <v>2.41</v>
      </c>
      <c r="D41">
        <v>3.61</v>
      </c>
      <c r="E41">
        <v>3.19</v>
      </c>
      <c r="H41">
        <v>2.61</v>
      </c>
      <c r="I41">
        <v>1.69</v>
      </c>
    </row>
    <row r="42" spans="3:12" x14ac:dyDescent="0.35">
      <c r="C42">
        <v>2.14</v>
      </c>
      <c r="D42">
        <v>2.4300000000000002</v>
      </c>
      <c r="E42">
        <v>0.74</v>
      </c>
      <c r="H42">
        <v>2.4500000000000002</v>
      </c>
      <c r="I42">
        <v>1.76</v>
      </c>
    </row>
    <row r="43" spans="3:12" x14ac:dyDescent="0.35">
      <c r="C43">
        <v>3.57</v>
      </c>
      <c r="D43">
        <v>3.51</v>
      </c>
      <c r="E43">
        <v>1.08</v>
      </c>
      <c r="H43">
        <v>1.87</v>
      </c>
      <c r="I43">
        <v>1.76</v>
      </c>
    </row>
    <row r="44" spans="3:12" x14ac:dyDescent="0.35">
      <c r="C44">
        <v>1.99</v>
      </c>
      <c r="D44">
        <v>2.88</v>
      </c>
      <c r="E44">
        <v>0.82</v>
      </c>
      <c r="H44">
        <v>2.69</v>
      </c>
      <c r="I44">
        <v>1.78</v>
      </c>
    </row>
    <row r="45" spans="3:12" x14ac:dyDescent="0.35">
      <c r="C45">
        <v>3.4</v>
      </c>
      <c r="D45">
        <v>2.08</v>
      </c>
      <c r="E45">
        <v>1.27</v>
      </c>
      <c r="H45">
        <v>2.58</v>
      </c>
      <c r="I45">
        <v>1.8</v>
      </c>
    </row>
    <row r="46" spans="3:12" x14ac:dyDescent="0.35">
      <c r="C46">
        <v>3.36</v>
      </c>
      <c r="D46">
        <v>2.1</v>
      </c>
      <c r="E46">
        <v>1.92</v>
      </c>
      <c r="H46">
        <v>4.4800000000000004</v>
      </c>
      <c r="I46">
        <v>1.86</v>
      </c>
    </row>
    <row r="47" spans="3:12" x14ac:dyDescent="0.35">
      <c r="C47">
        <v>3.42</v>
      </c>
      <c r="D47">
        <v>3.54</v>
      </c>
      <c r="E47">
        <v>2.19</v>
      </c>
      <c r="H47">
        <v>2.96</v>
      </c>
      <c r="I47">
        <v>1.87</v>
      </c>
    </row>
    <row r="48" spans="3:12" x14ac:dyDescent="0.35">
      <c r="C48">
        <v>2.65</v>
      </c>
      <c r="D48">
        <v>2.4</v>
      </c>
      <c r="E48">
        <v>0.81</v>
      </c>
      <c r="H48">
        <v>2.25</v>
      </c>
      <c r="I48">
        <v>1.87</v>
      </c>
    </row>
    <row r="49" spans="3:9" x14ac:dyDescent="0.35">
      <c r="C49">
        <v>2.27</v>
      </c>
      <c r="D49">
        <v>2.5299999999999998</v>
      </c>
      <c r="E49">
        <v>1.59</v>
      </c>
      <c r="H49">
        <v>2.61</v>
      </c>
      <c r="I49">
        <v>1.88</v>
      </c>
    </row>
    <row r="50" spans="3:9" x14ac:dyDescent="0.35">
      <c r="C50">
        <v>2.85</v>
      </c>
      <c r="D50">
        <v>3.15</v>
      </c>
      <c r="E50">
        <v>2.29</v>
      </c>
      <c r="H50">
        <v>3.63</v>
      </c>
      <c r="I50">
        <v>1.92</v>
      </c>
    </row>
    <row r="51" spans="3:9" x14ac:dyDescent="0.35">
      <c r="C51">
        <v>2.69</v>
      </c>
      <c r="D51">
        <v>1.87</v>
      </c>
      <c r="E51">
        <v>1.1100000000000001</v>
      </c>
      <c r="H51">
        <v>2.63</v>
      </c>
      <c r="I51">
        <v>1.92</v>
      </c>
    </row>
    <row r="52" spans="3:9" x14ac:dyDescent="0.35">
      <c r="C52">
        <v>3.73</v>
      </c>
      <c r="D52">
        <v>2.48</v>
      </c>
      <c r="E52">
        <v>1.94</v>
      </c>
      <c r="H52">
        <v>2.81</v>
      </c>
      <c r="I52">
        <v>1.92</v>
      </c>
    </row>
    <row r="53" spans="3:9" x14ac:dyDescent="0.35">
      <c r="C53">
        <v>2.56</v>
      </c>
      <c r="D53">
        <v>2.46</v>
      </c>
      <c r="E53">
        <v>1.1399999999999999</v>
      </c>
      <c r="H53">
        <v>2.34</v>
      </c>
      <c r="I53">
        <v>1.94</v>
      </c>
    </row>
    <row r="54" spans="3:9" x14ac:dyDescent="0.35">
      <c r="C54">
        <v>1.78</v>
      </c>
      <c r="D54">
        <v>3.1</v>
      </c>
      <c r="E54">
        <v>2.09</v>
      </c>
      <c r="H54">
        <v>4.8499999999999996</v>
      </c>
      <c r="I54">
        <v>1.96</v>
      </c>
    </row>
    <row r="55" spans="3:9" x14ac:dyDescent="0.35">
      <c r="C55">
        <v>2.61</v>
      </c>
      <c r="D55">
        <v>3.7</v>
      </c>
      <c r="E55">
        <v>1.26</v>
      </c>
      <c r="H55">
        <v>2.41</v>
      </c>
      <c r="I55">
        <v>1.98</v>
      </c>
    </row>
    <row r="56" spans="3:9" x14ac:dyDescent="0.35">
      <c r="C56">
        <v>2.85</v>
      </c>
      <c r="D56">
        <v>2.4500000000000002</v>
      </c>
      <c r="E56">
        <v>0.83</v>
      </c>
      <c r="H56">
        <v>2.14</v>
      </c>
      <c r="I56">
        <v>1.99</v>
      </c>
    </row>
    <row r="57" spans="3:9" x14ac:dyDescent="0.35">
      <c r="C57">
        <v>2.41</v>
      </c>
      <c r="D57">
        <v>3.14</v>
      </c>
      <c r="E57">
        <v>1.3</v>
      </c>
      <c r="H57">
        <v>3.57</v>
      </c>
      <c r="I57">
        <v>2.0499999999999998</v>
      </c>
    </row>
    <row r="58" spans="3:9" x14ac:dyDescent="0.35">
      <c r="C58">
        <v>2.2599999999999998</v>
      </c>
      <c r="D58">
        <v>4.22</v>
      </c>
      <c r="E58">
        <v>0.93</v>
      </c>
      <c r="H58">
        <v>1.99</v>
      </c>
      <c r="I58">
        <v>2.06</v>
      </c>
    </row>
    <row r="59" spans="3:9" x14ac:dyDescent="0.35">
      <c r="D59">
        <v>3.15</v>
      </c>
      <c r="E59">
        <v>1.1599999999999999</v>
      </c>
      <c r="H59">
        <v>3.4</v>
      </c>
      <c r="I59">
        <v>2.0699999999999998</v>
      </c>
    </row>
    <row r="60" spans="3:9" ht="15" x14ac:dyDescent="0.4">
      <c r="C60" s="6">
        <f>SUM(C7:C58)/52</f>
        <v>3.0855769230769221</v>
      </c>
      <c r="D60">
        <v>3.41</v>
      </c>
      <c r="E60">
        <v>2.11</v>
      </c>
      <c r="H60">
        <v>3.36</v>
      </c>
      <c r="I60">
        <v>2.08</v>
      </c>
    </row>
    <row r="61" spans="3:9" x14ac:dyDescent="0.35">
      <c r="D61">
        <v>3.12</v>
      </c>
      <c r="E61">
        <v>2.5499999999999998</v>
      </c>
      <c r="H61">
        <v>3.42</v>
      </c>
      <c r="I61">
        <v>2.09</v>
      </c>
    </row>
    <row r="62" spans="3:9" x14ac:dyDescent="0.35">
      <c r="D62">
        <v>3.37</v>
      </c>
      <c r="E62">
        <v>1.42</v>
      </c>
      <c r="H62">
        <v>2.65</v>
      </c>
      <c r="I62">
        <v>2.1</v>
      </c>
    </row>
    <row r="63" spans="3:9" x14ac:dyDescent="0.35">
      <c r="D63">
        <v>3.51</v>
      </c>
      <c r="E63">
        <v>1.22</v>
      </c>
      <c r="H63">
        <v>2.27</v>
      </c>
      <c r="I63">
        <v>2.1</v>
      </c>
    </row>
    <row r="64" spans="3:9" x14ac:dyDescent="0.35">
      <c r="D64">
        <v>3.1</v>
      </c>
      <c r="E64">
        <v>2.58</v>
      </c>
      <c r="H64">
        <v>2.85</v>
      </c>
      <c r="I64">
        <v>2.11</v>
      </c>
    </row>
    <row r="65" spans="4:9" x14ac:dyDescent="0.35">
      <c r="D65">
        <v>3.22</v>
      </c>
      <c r="H65">
        <v>2.69</v>
      </c>
      <c r="I65">
        <v>2.14</v>
      </c>
    </row>
    <row r="66" spans="4:9" ht="15" x14ac:dyDescent="0.4">
      <c r="D66">
        <v>2.0499999999999998</v>
      </c>
      <c r="E66" s="6">
        <f>SUM(E7:E64)/58</f>
        <v>1.8982758620689655</v>
      </c>
      <c r="H66">
        <v>3.73</v>
      </c>
      <c r="I66">
        <v>2.14</v>
      </c>
    </row>
    <row r="67" spans="4:9" x14ac:dyDescent="0.35">
      <c r="D67">
        <v>2.54</v>
      </c>
      <c r="H67">
        <v>2.56</v>
      </c>
      <c r="I67">
        <v>2.19</v>
      </c>
    </row>
    <row r="68" spans="4:9" x14ac:dyDescent="0.35">
      <c r="D68">
        <v>2.41</v>
      </c>
      <c r="H68">
        <v>1.78</v>
      </c>
      <c r="I68">
        <v>2.19</v>
      </c>
    </row>
    <row r="69" spans="4:9" x14ac:dyDescent="0.35">
      <c r="D69">
        <v>2.4900000000000002</v>
      </c>
      <c r="H69">
        <v>2.61</v>
      </c>
      <c r="I69">
        <v>2.2000000000000002</v>
      </c>
    </row>
    <row r="70" spans="4:9" x14ac:dyDescent="0.35">
      <c r="H70">
        <v>2.85</v>
      </c>
      <c r="I70">
        <v>2.23</v>
      </c>
    </row>
    <row r="71" spans="4:9" ht="15" x14ac:dyDescent="0.4">
      <c r="D71" s="6">
        <f>SUM(D7:D69)/63</f>
        <v>2.793333333333333</v>
      </c>
      <c r="H71">
        <v>2.41</v>
      </c>
      <c r="I71">
        <v>2.25</v>
      </c>
    </row>
    <row r="72" spans="4:9" x14ac:dyDescent="0.35">
      <c r="H72">
        <v>2.2599999999999998</v>
      </c>
      <c r="I72">
        <v>2.2599999999999998</v>
      </c>
    </row>
    <row r="73" spans="4:9" x14ac:dyDescent="0.35">
      <c r="H73">
        <v>2.76</v>
      </c>
      <c r="I73">
        <v>2.2599999999999998</v>
      </c>
    </row>
    <row r="74" spans="4:9" x14ac:dyDescent="0.35">
      <c r="H74">
        <v>2.73</v>
      </c>
      <c r="I74">
        <v>2.27</v>
      </c>
    </row>
    <row r="75" spans="4:9" x14ac:dyDescent="0.35">
      <c r="H75">
        <v>2.85</v>
      </c>
      <c r="I75">
        <v>2.2799999999999998</v>
      </c>
    </row>
    <row r="76" spans="4:9" x14ac:dyDescent="0.35">
      <c r="H76">
        <v>2.06</v>
      </c>
      <c r="I76">
        <v>2.29</v>
      </c>
    </row>
    <row r="77" spans="4:9" x14ac:dyDescent="0.35">
      <c r="H77">
        <v>2.58</v>
      </c>
      <c r="I77">
        <v>2.31</v>
      </c>
    </row>
    <row r="78" spans="4:9" x14ac:dyDescent="0.35">
      <c r="H78">
        <v>3.25</v>
      </c>
      <c r="I78">
        <v>2.33</v>
      </c>
    </row>
    <row r="79" spans="4:9" x14ac:dyDescent="0.35">
      <c r="H79">
        <v>1.98</v>
      </c>
      <c r="I79">
        <v>2.34</v>
      </c>
    </row>
    <row r="80" spans="4:9" x14ac:dyDescent="0.35">
      <c r="H80">
        <v>2.4300000000000002</v>
      </c>
      <c r="I80">
        <v>2.4</v>
      </c>
    </row>
    <row r="81" spans="8:9" x14ac:dyDescent="0.35">
      <c r="H81">
        <v>2.81</v>
      </c>
      <c r="I81">
        <v>2.41</v>
      </c>
    </row>
    <row r="82" spans="8:9" x14ac:dyDescent="0.35">
      <c r="H82">
        <v>2.73</v>
      </c>
      <c r="I82">
        <v>2.41</v>
      </c>
    </row>
    <row r="83" spans="8:9" x14ac:dyDescent="0.35">
      <c r="H83">
        <v>1.76</v>
      </c>
      <c r="I83">
        <v>2.41</v>
      </c>
    </row>
    <row r="84" spans="8:9" x14ac:dyDescent="0.35">
      <c r="H84">
        <v>3</v>
      </c>
      <c r="I84">
        <v>2.4300000000000002</v>
      </c>
    </row>
    <row r="85" spans="8:9" x14ac:dyDescent="0.35">
      <c r="H85">
        <v>2.19</v>
      </c>
      <c r="I85">
        <v>2.4300000000000002</v>
      </c>
    </row>
    <row r="86" spans="8:9" x14ac:dyDescent="0.35">
      <c r="H86">
        <v>3.09</v>
      </c>
      <c r="I86">
        <v>2.44</v>
      </c>
    </row>
    <row r="87" spans="8:9" x14ac:dyDescent="0.35">
      <c r="H87">
        <v>2.54</v>
      </c>
      <c r="I87">
        <v>2.4500000000000002</v>
      </c>
    </row>
    <row r="88" spans="8:9" x14ac:dyDescent="0.35">
      <c r="H88">
        <v>2.62</v>
      </c>
      <c r="I88">
        <v>2.4500000000000002</v>
      </c>
    </row>
    <row r="89" spans="8:9" x14ac:dyDescent="0.35">
      <c r="H89">
        <v>2.84</v>
      </c>
      <c r="I89">
        <v>2.46</v>
      </c>
    </row>
    <row r="90" spans="8:9" x14ac:dyDescent="0.35">
      <c r="H90">
        <v>2.89</v>
      </c>
      <c r="I90">
        <v>2.4700000000000002</v>
      </c>
    </row>
    <row r="91" spans="8:9" x14ac:dyDescent="0.35">
      <c r="H91">
        <v>3.28</v>
      </c>
      <c r="I91">
        <v>2.48</v>
      </c>
    </row>
    <row r="92" spans="8:9" x14ac:dyDescent="0.35">
      <c r="H92">
        <v>3.01</v>
      </c>
      <c r="I92">
        <v>2.4900000000000002</v>
      </c>
    </row>
    <row r="93" spans="8:9" x14ac:dyDescent="0.35">
      <c r="H93">
        <v>1.88</v>
      </c>
      <c r="I93">
        <v>2.5099999999999998</v>
      </c>
    </row>
    <row r="94" spans="8:9" x14ac:dyDescent="0.35">
      <c r="H94">
        <v>1.92</v>
      </c>
      <c r="I94">
        <v>2.52</v>
      </c>
    </row>
    <row r="95" spans="8:9" x14ac:dyDescent="0.35">
      <c r="H95">
        <v>1.92</v>
      </c>
      <c r="I95">
        <v>2.52</v>
      </c>
    </row>
    <row r="96" spans="8:9" x14ac:dyDescent="0.35">
      <c r="H96">
        <v>2.52</v>
      </c>
      <c r="I96">
        <v>2.5299999999999998</v>
      </c>
    </row>
    <row r="97" spans="8:9" x14ac:dyDescent="0.35">
      <c r="H97">
        <v>2.5099999999999998</v>
      </c>
      <c r="I97">
        <v>2.54</v>
      </c>
    </row>
    <row r="98" spans="8:9" x14ac:dyDescent="0.35">
      <c r="H98">
        <v>2.81</v>
      </c>
      <c r="I98">
        <v>2.54</v>
      </c>
    </row>
    <row r="99" spans="8:9" x14ac:dyDescent="0.35">
      <c r="H99">
        <v>3.67</v>
      </c>
      <c r="I99">
        <v>2.54</v>
      </c>
    </row>
    <row r="100" spans="8:9" x14ac:dyDescent="0.35">
      <c r="H100">
        <v>2.44</v>
      </c>
      <c r="I100">
        <v>2.5499999999999998</v>
      </c>
    </row>
    <row r="101" spans="8:9" x14ac:dyDescent="0.35">
      <c r="H101">
        <v>3.3</v>
      </c>
      <c r="I101">
        <v>2.56</v>
      </c>
    </row>
    <row r="102" spans="8:9" x14ac:dyDescent="0.35">
      <c r="H102">
        <v>3.22</v>
      </c>
      <c r="I102">
        <v>2.58</v>
      </c>
    </row>
    <row r="103" spans="8:9" x14ac:dyDescent="0.35">
      <c r="H103">
        <v>3.77</v>
      </c>
      <c r="I103">
        <v>2.58</v>
      </c>
    </row>
    <row r="104" spans="8:9" x14ac:dyDescent="0.35">
      <c r="H104">
        <v>3.53</v>
      </c>
      <c r="I104">
        <v>2.58</v>
      </c>
    </row>
    <row r="105" spans="8:9" x14ac:dyDescent="0.35">
      <c r="H105">
        <v>2.2799999999999998</v>
      </c>
      <c r="I105">
        <v>2.61</v>
      </c>
    </row>
    <row r="106" spans="8:9" x14ac:dyDescent="0.35">
      <c r="H106">
        <v>2.79</v>
      </c>
      <c r="I106">
        <v>2.61</v>
      </c>
    </row>
    <row r="107" spans="8:9" x14ac:dyDescent="0.35">
      <c r="H107">
        <v>3.61</v>
      </c>
      <c r="I107">
        <v>2.61</v>
      </c>
    </row>
    <row r="108" spans="8:9" x14ac:dyDescent="0.35">
      <c r="H108">
        <v>2.4300000000000002</v>
      </c>
      <c r="I108">
        <v>2.62</v>
      </c>
    </row>
    <row r="109" spans="8:9" x14ac:dyDescent="0.35">
      <c r="H109">
        <v>3.51</v>
      </c>
      <c r="I109">
        <v>2.63</v>
      </c>
    </row>
    <row r="110" spans="8:9" x14ac:dyDescent="0.35">
      <c r="H110">
        <v>2.88</v>
      </c>
      <c r="I110">
        <v>2.65</v>
      </c>
    </row>
    <row r="111" spans="8:9" x14ac:dyDescent="0.35">
      <c r="H111">
        <v>2.08</v>
      </c>
      <c r="I111">
        <v>2.68</v>
      </c>
    </row>
    <row r="112" spans="8:9" x14ac:dyDescent="0.35">
      <c r="H112">
        <v>2.1</v>
      </c>
      <c r="I112">
        <v>2.69</v>
      </c>
    </row>
    <row r="113" spans="8:9" x14ac:dyDescent="0.35">
      <c r="H113">
        <v>3.54</v>
      </c>
      <c r="I113">
        <v>2.69</v>
      </c>
    </row>
    <row r="114" spans="8:9" x14ac:dyDescent="0.35">
      <c r="H114">
        <v>2.4</v>
      </c>
      <c r="I114">
        <v>2.69</v>
      </c>
    </row>
    <row r="115" spans="8:9" x14ac:dyDescent="0.35">
      <c r="H115">
        <v>2.5299999999999998</v>
      </c>
      <c r="I115">
        <v>2.71</v>
      </c>
    </row>
    <row r="116" spans="8:9" x14ac:dyDescent="0.35">
      <c r="H116">
        <v>3.15</v>
      </c>
      <c r="I116">
        <v>2.72</v>
      </c>
    </row>
    <row r="117" spans="8:9" x14ac:dyDescent="0.35">
      <c r="H117">
        <v>1.87</v>
      </c>
      <c r="I117">
        <v>2.73</v>
      </c>
    </row>
    <row r="118" spans="8:9" x14ac:dyDescent="0.35">
      <c r="H118">
        <v>2.48</v>
      </c>
      <c r="I118">
        <v>2.73</v>
      </c>
    </row>
    <row r="119" spans="8:9" x14ac:dyDescent="0.35">
      <c r="H119">
        <v>2.46</v>
      </c>
      <c r="I119">
        <v>2.76</v>
      </c>
    </row>
    <row r="120" spans="8:9" x14ac:dyDescent="0.35">
      <c r="H120">
        <v>3.1</v>
      </c>
      <c r="I120">
        <v>2.78</v>
      </c>
    </row>
    <row r="121" spans="8:9" x14ac:dyDescent="0.35">
      <c r="H121">
        <v>3.7</v>
      </c>
      <c r="I121">
        <v>2.78</v>
      </c>
    </row>
    <row r="122" spans="8:9" x14ac:dyDescent="0.35">
      <c r="H122">
        <v>2.4500000000000002</v>
      </c>
      <c r="I122">
        <v>2.79</v>
      </c>
    </row>
    <row r="123" spans="8:9" x14ac:dyDescent="0.35">
      <c r="H123">
        <v>3.14</v>
      </c>
      <c r="I123">
        <v>2.81</v>
      </c>
    </row>
    <row r="124" spans="8:9" x14ac:dyDescent="0.35">
      <c r="H124">
        <v>4.22</v>
      </c>
      <c r="I124">
        <v>2.81</v>
      </c>
    </row>
    <row r="125" spans="8:9" x14ac:dyDescent="0.35">
      <c r="H125">
        <v>3.15</v>
      </c>
      <c r="I125">
        <v>2.81</v>
      </c>
    </row>
    <row r="126" spans="8:9" x14ac:dyDescent="0.35">
      <c r="H126">
        <v>3.41</v>
      </c>
      <c r="I126">
        <v>2.84</v>
      </c>
    </row>
    <row r="127" spans="8:9" x14ac:dyDescent="0.35">
      <c r="H127">
        <v>3.12</v>
      </c>
      <c r="I127">
        <v>2.85</v>
      </c>
    </row>
    <row r="128" spans="8:9" x14ac:dyDescent="0.35">
      <c r="H128">
        <v>3.37</v>
      </c>
      <c r="I128">
        <v>2.85</v>
      </c>
    </row>
    <row r="129" spans="8:9" x14ac:dyDescent="0.35">
      <c r="H129">
        <v>3.51</v>
      </c>
      <c r="I129">
        <v>2.85</v>
      </c>
    </row>
    <row r="130" spans="8:9" x14ac:dyDescent="0.35">
      <c r="H130">
        <v>3.1</v>
      </c>
      <c r="I130">
        <v>2.85</v>
      </c>
    </row>
    <row r="131" spans="8:9" x14ac:dyDescent="0.35">
      <c r="H131">
        <v>3.22</v>
      </c>
      <c r="I131">
        <v>2.88</v>
      </c>
    </row>
    <row r="132" spans="8:9" x14ac:dyDescent="0.35">
      <c r="H132">
        <v>2.0499999999999998</v>
      </c>
      <c r="I132">
        <v>2.89</v>
      </c>
    </row>
    <row r="133" spans="8:9" x14ac:dyDescent="0.35">
      <c r="H133">
        <v>2.54</v>
      </c>
      <c r="I133">
        <v>2.89</v>
      </c>
    </row>
    <row r="134" spans="8:9" x14ac:dyDescent="0.35">
      <c r="H134">
        <v>2.41</v>
      </c>
      <c r="I134">
        <v>2.9</v>
      </c>
    </row>
    <row r="135" spans="8:9" x14ac:dyDescent="0.35">
      <c r="H135">
        <v>2.4900000000000002</v>
      </c>
      <c r="I135">
        <v>2.94</v>
      </c>
    </row>
    <row r="136" spans="8:9" x14ac:dyDescent="0.35">
      <c r="H136">
        <v>1.43</v>
      </c>
      <c r="I136">
        <v>2.95</v>
      </c>
    </row>
    <row r="137" spans="8:9" x14ac:dyDescent="0.35">
      <c r="H137">
        <v>1.51</v>
      </c>
      <c r="I137">
        <v>2.96</v>
      </c>
    </row>
    <row r="138" spans="8:9" x14ac:dyDescent="0.35">
      <c r="H138">
        <v>2.31</v>
      </c>
      <c r="I138">
        <v>2.98</v>
      </c>
    </row>
    <row r="139" spans="8:9" x14ac:dyDescent="0.35">
      <c r="H139">
        <v>2.78</v>
      </c>
      <c r="I139">
        <v>3</v>
      </c>
    </row>
    <row r="140" spans="8:9" x14ac:dyDescent="0.35">
      <c r="H140">
        <v>1.55</v>
      </c>
      <c r="I140">
        <v>3.01</v>
      </c>
    </row>
    <row r="141" spans="8:9" x14ac:dyDescent="0.35">
      <c r="H141">
        <v>1.29</v>
      </c>
      <c r="I141">
        <v>3.09</v>
      </c>
    </row>
    <row r="142" spans="8:9" x14ac:dyDescent="0.35">
      <c r="H142">
        <v>1.96</v>
      </c>
      <c r="I142">
        <v>3.1</v>
      </c>
    </row>
    <row r="143" spans="8:9" x14ac:dyDescent="0.35">
      <c r="H143">
        <v>3.1</v>
      </c>
      <c r="I143">
        <v>3.1</v>
      </c>
    </row>
    <row r="144" spans="8:9" x14ac:dyDescent="0.35">
      <c r="H144">
        <v>4.45</v>
      </c>
      <c r="I144">
        <v>3.1</v>
      </c>
    </row>
    <row r="145" spans="8:9" x14ac:dyDescent="0.35">
      <c r="H145">
        <v>2.33</v>
      </c>
      <c r="I145">
        <v>3.1</v>
      </c>
    </row>
    <row r="146" spans="8:9" x14ac:dyDescent="0.35">
      <c r="H146">
        <v>1.62</v>
      </c>
      <c r="I146">
        <v>3.12</v>
      </c>
    </row>
    <row r="147" spans="8:9" x14ac:dyDescent="0.35">
      <c r="H147">
        <v>0.77</v>
      </c>
      <c r="I147">
        <v>3.14</v>
      </c>
    </row>
    <row r="148" spans="8:9" x14ac:dyDescent="0.35">
      <c r="H148">
        <v>1</v>
      </c>
      <c r="I148">
        <v>3.15</v>
      </c>
    </row>
    <row r="149" spans="8:9" x14ac:dyDescent="0.35">
      <c r="H149">
        <v>2.98</v>
      </c>
      <c r="I149">
        <v>3.15</v>
      </c>
    </row>
    <row r="150" spans="8:9" x14ac:dyDescent="0.35">
      <c r="H150">
        <v>1.24</v>
      </c>
      <c r="I150">
        <v>3.17</v>
      </c>
    </row>
    <row r="151" spans="8:9" x14ac:dyDescent="0.35">
      <c r="H151">
        <v>2.1</v>
      </c>
      <c r="I151">
        <v>3.19</v>
      </c>
    </row>
    <row r="152" spans="8:9" x14ac:dyDescent="0.35">
      <c r="H152">
        <v>0.75</v>
      </c>
      <c r="I152">
        <v>3.22</v>
      </c>
    </row>
    <row r="153" spans="8:9" x14ac:dyDescent="0.35">
      <c r="H153">
        <v>1.22</v>
      </c>
      <c r="I153">
        <v>3.22</v>
      </c>
    </row>
    <row r="154" spans="8:9" x14ac:dyDescent="0.35">
      <c r="H154">
        <v>1.67</v>
      </c>
      <c r="I154">
        <v>3.22</v>
      </c>
    </row>
    <row r="155" spans="8:9" x14ac:dyDescent="0.35">
      <c r="H155">
        <v>2.4700000000000002</v>
      </c>
      <c r="I155">
        <v>3.23</v>
      </c>
    </row>
    <row r="156" spans="8:9" x14ac:dyDescent="0.35">
      <c r="H156">
        <v>2.2000000000000002</v>
      </c>
      <c r="I156">
        <v>3.25</v>
      </c>
    </row>
    <row r="157" spans="8:9" x14ac:dyDescent="0.35">
      <c r="H157">
        <v>1.17</v>
      </c>
      <c r="I157">
        <v>3.26</v>
      </c>
    </row>
    <row r="158" spans="8:9" x14ac:dyDescent="0.35">
      <c r="H158">
        <v>1.07</v>
      </c>
      <c r="I158">
        <v>3.28</v>
      </c>
    </row>
    <row r="159" spans="8:9" x14ac:dyDescent="0.35">
      <c r="H159">
        <v>2.72</v>
      </c>
      <c r="I159">
        <v>3.3</v>
      </c>
    </row>
    <row r="160" spans="8:9" x14ac:dyDescent="0.35">
      <c r="H160">
        <v>1.52</v>
      </c>
      <c r="I160">
        <v>3.36</v>
      </c>
    </row>
    <row r="161" spans="8:9" x14ac:dyDescent="0.35">
      <c r="H161">
        <v>1.51</v>
      </c>
      <c r="I161">
        <v>3.37</v>
      </c>
    </row>
    <row r="162" spans="8:9" x14ac:dyDescent="0.35">
      <c r="H162">
        <v>3.17</v>
      </c>
      <c r="I162">
        <v>3.4</v>
      </c>
    </row>
    <row r="163" spans="8:9" x14ac:dyDescent="0.35">
      <c r="H163">
        <v>2.94</v>
      </c>
      <c r="I163">
        <v>3.41</v>
      </c>
    </row>
    <row r="164" spans="8:9" x14ac:dyDescent="0.35">
      <c r="H164">
        <v>3.1</v>
      </c>
      <c r="I164">
        <v>3.42</v>
      </c>
    </row>
    <row r="165" spans="8:9" x14ac:dyDescent="0.35">
      <c r="H165">
        <v>3.86</v>
      </c>
      <c r="I165">
        <v>3.46</v>
      </c>
    </row>
    <row r="166" spans="8:9" x14ac:dyDescent="0.35">
      <c r="H166">
        <v>3.46</v>
      </c>
      <c r="I166">
        <v>3.49</v>
      </c>
    </row>
    <row r="167" spans="8:9" x14ac:dyDescent="0.35">
      <c r="H167">
        <v>2.95</v>
      </c>
      <c r="I167">
        <v>3.51</v>
      </c>
    </row>
    <row r="168" spans="8:9" x14ac:dyDescent="0.35">
      <c r="H168">
        <v>2.89</v>
      </c>
      <c r="I168">
        <v>3.51</v>
      </c>
    </row>
    <row r="169" spans="8:9" x14ac:dyDescent="0.35">
      <c r="H169">
        <v>1.47</v>
      </c>
      <c r="I169">
        <v>3.53</v>
      </c>
    </row>
    <row r="170" spans="8:9" x14ac:dyDescent="0.35">
      <c r="H170">
        <v>3.19</v>
      </c>
      <c r="I170">
        <v>3.54</v>
      </c>
    </row>
    <row r="171" spans="8:9" x14ac:dyDescent="0.35">
      <c r="H171">
        <v>0.74</v>
      </c>
      <c r="I171">
        <v>3.54</v>
      </c>
    </row>
    <row r="172" spans="8:9" x14ac:dyDescent="0.35">
      <c r="H172">
        <v>1.08</v>
      </c>
      <c r="I172">
        <v>3.57</v>
      </c>
    </row>
    <row r="173" spans="8:9" x14ac:dyDescent="0.35">
      <c r="H173">
        <v>0.82</v>
      </c>
      <c r="I173">
        <v>3.61</v>
      </c>
    </row>
    <row r="174" spans="8:9" x14ac:dyDescent="0.35">
      <c r="H174">
        <v>1.27</v>
      </c>
      <c r="I174">
        <v>3.63</v>
      </c>
    </row>
    <row r="175" spans="8:9" x14ac:dyDescent="0.35">
      <c r="H175">
        <v>1.92</v>
      </c>
      <c r="I175">
        <v>3.67</v>
      </c>
    </row>
    <row r="176" spans="8:9" x14ac:dyDescent="0.35">
      <c r="H176">
        <v>2.19</v>
      </c>
      <c r="I176">
        <v>3.7</v>
      </c>
    </row>
    <row r="177" spans="8:9" x14ac:dyDescent="0.35">
      <c r="H177">
        <v>0.81</v>
      </c>
      <c r="I177">
        <v>3.73</v>
      </c>
    </row>
    <row r="178" spans="8:9" x14ac:dyDescent="0.35">
      <c r="H178">
        <v>1.59</v>
      </c>
      <c r="I178">
        <v>3.77</v>
      </c>
    </row>
    <row r="179" spans="8:9" x14ac:dyDescent="0.35">
      <c r="H179">
        <v>2.29</v>
      </c>
      <c r="I179">
        <v>3.86</v>
      </c>
    </row>
    <row r="180" spans="8:9" x14ac:dyDescent="0.35">
      <c r="H180">
        <v>1.1100000000000001</v>
      </c>
      <c r="I180">
        <v>3.89</v>
      </c>
    </row>
    <row r="181" spans="8:9" x14ac:dyDescent="0.35">
      <c r="H181">
        <v>1.94</v>
      </c>
      <c r="I181">
        <v>4</v>
      </c>
    </row>
    <row r="182" spans="8:9" x14ac:dyDescent="0.35">
      <c r="H182">
        <v>1.1399999999999999</v>
      </c>
      <c r="I182">
        <v>4.1500000000000004</v>
      </c>
    </row>
    <row r="183" spans="8:9" x14ac:dyDescent="0.35">
      <c r="H183">
        <v>2.09</v>
      </c>
      <c r="I183">
        <v>4.22</v>
      </c>
    </row>
    <row r="184" spans="8:9" x14ac:dyDescent="0.35">
      <c r="H184">
        <v>1.26</v>
      </c>
      <c r="I184">
        <v>4.24</v>
      </c>
    </row>
    <row r="185" spans="8:9" x14ac:dyDescent="0.35">
      <c r="H185">
        <v>0.83</v>
      </c>
      <c r="I185">
        <v>4.3600000000000003</v>
      </c>
    </row>
    <row r="186" spans="8:9" x14ac:dyDescent="0.35">
      <c r="H186">
        <v>1.3</v>
      </c>
      <c r="I186">
        <v>4.42</v>
      </c>
    </row>
    <row r="187" spans="8:9" x14ac:dyDescent="0.35">
      <c r="H187">
        <v>0.93</v>
      </c>
      <c r="I187">
        <v>4.45</v>
      </c>
    </row>
    <row r="188" spans="8:9" x14ac:dyDescent="0.35">
      <c r="H188">
        <v>1.1599999999999999</v>
      </c>
      <c r="I188">
        <v>4.4800000000000004</v>
      </c>
    </row>
    <row r="189" spans="8:9" x14ac:dyDescent="0.35">
      <c r="H189">
        <v>2.11</v>
      </c>
      <c r="I189">
        <v>4.8499999999999996</v>
      </c>
    </row>
    <row r="190" spans="8:9" x14ac:dyDescent="0.35">
      <c r="H190">
        <v>2.5499999999999998</v>
      </c>
      <c r="I190">
        <v>4.96</v>
      </c>
    </row>
    <row r="191" spans="8:9" x14ac:dyDescent="0.35">
      <c r="H191">
        <v>1.42</v>
      </c>
      <c r="I191">
        <v>5.18</v>
      </c>
    </row>
    <row r="192" spans="8:9" x14ac:dyDescent="0.35">
      <c r="H192">
        <v>1.22</v>
      </c>
      <c r="I192">
        <v>5.19</v>
      </c>
    </row>
    <row r="193" spans="8:9" x14ac:dyDescent="0.35">
      <c r="H193">
        <v>2.58</v>
      </c>
      <c r="I193">
        <v>18.399999999999999</v>
      </c>
    </row>
  </sheetData>
  <sortState ref="I7:I193">
    <sortCondition ref="I7:I193"/>
  </sortState>
  <phoneticPr fontId="1" type="noConversion"/>
  <pageMargins left="0.75" right="0.75" top="1" bottom="1" header="0.5" footer="0.5"/>
  <headerFooter alignWithMargins="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26" sqref="B26"/>
    </sheetView>
  </sheetViews>
  <sheetFormatPr defaultRowHeight="12.75" x14ac:dyDescent="0.35"/>
  <cols>
    <col min="1" max="1" width="12.86328125" customWidth="1"/>
  </cols>
  <sheetData>
    <row r="1" spans="1:2" x14ac:dyDescent="0.35">
      <c r="A1" t="s">
        <v>0</v>
      </c>
    </row>
    <row r="2" spans="1:2" x14ac:dyDescent="0.35">
      <c r="A2" t="s">
        <v>91</v>
      </c>
    </row>
    <row r="3" spans="1:2" x14ac:dyDescent="0.35">
      <c r="A3" t="s">
        <v>4</v>
      </c>
      <c r="B3" s="18" t="s">
        <v>463</v>
      </c>
    </row>
    <row r="4" spans="1:2" x14ac:dyDescent="0.35">
      <c r="A4" s="18" t="s">
        <v>461</v>
      </c>
      <c r="B4">
        <v>386774</v>
      </c>
    </row>
    <row r="5" spans="1:2" x14ac:dyDescent="0.35">
      <c r="A5" s="18" t="s">
        <v>462</v>
      </c>
      <c r="B5">
        <v>5469719</v>
      </c>
    </row>
    <row r="7" spans="1:2" x14ac:dyDescent="0.35">
      <c r="B7">
        <v>0.03</v>
      </c>
    </row>
    <row r="8" spans="1:2" x14ac:dyDescent="0.35">
      <c r="B8">
        <v>7.0000000000000007E-2</v>
      </c>
    </row>
    <row r="9" spans="1:2" x14ac:dyDescent="0.35">
      <c r="B9">
        <v>7.0000000000000007E-2</v>
      </c>
    </row>
    <row r="10" spans="1:2" x14ac:dyDescent="0.35">
      <c r="B10">
        <v>0.05</v>
      </c>
    </row>
    <row r="11" spans="1:2" x14ac:dyDescent="0.35">
      <c r="B11">
        <v>0.06</v>
      </c>
    </row>
    <row r="12" spans="1:2" x14ac:dyDescent="0.35">
      <c r="B12">
        <v>0.1</v>
      </c>
    </row>
    <row r="13" spans="1:2" x14ac:dyDescent="0.35">
      <c r="B13">
        <v>0.04</v>
      </c>
    </row>
    <row r="14" spans="1:2" x14ac:dyDescent="0.35">
      <c r="B14">
        <v>0.04</v>
      </c>
    </row>
    <row r="15" spans="1:2" x14ac:dyDescent="0.35">
      <c r="B15">
        <v>0.06</v>
      </c>
    </row>
    <row r="16" spans="1:2" x14ac:dyDescent="0.35">
      <c r="B16">
        <v>0.05</v>
      </c>
    </row>
    <row r="17" spans="1:3" x14ac:dyDescent="0.35">
      <c r="B17">
        <v>0.08</v>
      </c>
    </row>
    <row r="18" spans="1:3" x14ac:dyDescent="0.35">
      <c r="B18">
        <v>7.0000000000000007E-2</v>
      </c>
    </row>
    <row r="19" spans="1:3" x14ac:dyDescent="0.35">
      <c r="B19">
        <v>0.23</v>
      </c>
      <c r="C19" s="18" t="s">
        <v>467</v>
      </c>
    </row>
    <row r="20" spans="1:3" x14ac:dyDescent="0.35">
      <c r="B20">
        <v>0.05</v>
      </c>
    </row>
    <row r="22" spans="1:3" ht="13.9" x14ac:dyDescent="0.4">
      <c r="A22" s="155" t="s">
        <v>3</v>
      </c>
      <c r="B22" s="156">
        <f>SUM(B7:B20)/14</f>
        <v>7.1428571428571425E-2</v>
      </c>
    </row>
    <row r="23" spans="1:3" ht="13.9" x14ac:dyDescent="0.4">
      <c r="A23" s="155" t="s">
        <v>464</v>
      </c>
      <c r="B23" s="155">
        <f>MEDIAN(B7:B20)</f>
        <v>0.06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C6" sqref="C6"/>
    </sheetView>
  </sheetViews>
  <sheetFormatPr defaultRowHeight="12.75" x14ac:dyDescent="0.35"/>
  <cols>
    <col min="1" max="1" width="14.19921875" customWidth="1"/>
  </cols>
  <sheetData>
    <row r="1" spans="1:19" x14ac:dyDescent="0.35">
      <c r="A1" t="s">
        <v>0</v>
      </c>
    </row>
    <row r="2" spans="1:19" x14ac:dyDescent="0.35">
      <c r="A2" t="s">
        <v>91</v>
      </c>
    </row>
    <row r="3" spans="1:19" x14ac:dyDescent="0.35">
      <c r="A3" t="s">
        <v>4</v>
      </c>
      <c r="B3" s="3" t="s">
        <v>8</v>
      </c>
      <c r="C3" s="3" t="s">
        <v>13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5">
      <c r="A4" t="s">
        <v>2</v>
      </c>
      <c r="B4">
        <v>304219</v>
      </c>
      <c r="C4">
        <v>357362</v>
      </c>
    </row>
    <row r="5" spans="1:19" x14ac:dyDescent="0.35">
      <c r="A5" t="s">
        <v>1</v>
      </c>
      <c r="B5">
        <v>5468494</v>
      </c>
      <c r="C5">
        <v>5476696</v>
      </c>
    </row>
    <row r="7" spans="1:19" s="1" customFormat="1" x14ac:dyDescent="0.35">
      <c r="B7" s="1">
        <v>0.02</v>
      </c>
      <c r="C7" s="1">
        <v>0.02</v>
      </c>
    </row>
    <row r="8" spans="1:19" x14ac:dyDescent="0.35">
      <c r="B8">
        <v>0.04</v>
      </c>
      <c r="C8">
        <v>0.05</v>
      </c>
    </row>
    <row r="9" spans="1:19" x14ac:dyDescent="0.35">
      <c r="B9">
        <v>0.03</v>
      </c>
      <c r="C9">
        <v>0.03</v>
      </c>
    </row>
    <row r="10" spans="1:19" x14ac:dyDescent="0.35">
      <c r="B10">
        <v>0.05</v>
      </c>
      <c r="C10">
        <v>0.04</v>
      </c>
    </row>
    <row r="11" spans="1:19" x14ac:dyDescent="0.35">
      <c r="B11">
        <v>0.03</v>
      </c>
      <c r="C11">
        <v>0.03</v>
      </c>
    </row>
    <row r="12" spans="1:19" s="1" customFormat="1" x14ac:dyDescent="0.35">
      <c r="B12" s="1">
        <v>0.04</v>
      </c>
      <c r="C12" s="1">
        <v>0.03</v>
      </c>
    </row>
    <row r="13" spans="1:19" x14ac:dyDescent="0.35">
      <c r="B13">
        <v>0.06</v>
      </c>
      <c r="C13">
        <v>0.05</v>
      </c>
    </row>
    <row r="14" spans="1:19" x14ac:dyDescent="0.35">
      <c r="B14">
        <v>0.03</v>
      </c>
      <c r="C14">
        <v>0.03</v>
      </c>
    </row>
    <row r="15" spans="1:19" x14ac:dyDescent="0.35">
      <c r="B15">
        <v>0.03</v>
      </c>
      <c r="C15">
        <v>0.04</v>
      </c>
    </row>
    <row r="16" spans="1:19" x14ac:dyDescent="0.35">
      <c r="C16">
        <v>0.04</v>
      </c>
    </row>
    <row r="17" spans="1:3" s="1" customFormat="1" x14ac:dyDescent="0.35">
      <c r="C17" s="1">
        <v>0.05</v>
      </c>
    </row>
    <row r="18" spans="1:3" x14ac:dyDescent="0.35">
      <c r="C18">
        <v>0.04</v>
      </c>
    </row>
    <row r="19" spans="1:3" x14ac:dyDescent="0.35">
      <c r="C19">
        <v>0.03</v>
      </c>
    </row>
    <row r="20" spans="1:3" x14ac:dyDescent="0.35">
      <c r="C20">
        <v>0.03</v>
      </c>
    </row>
    <row r="21" spans="1:3" x14ac:dyDescent="0.35">
      <c r="C21">
        <v>0.04</v>
      </c>
    </row>
    <row r="22" spans="1:3" s="1" customFormat="1" x14ac:dyDescent="0.35"/>
    <row r="23" spans="1:3" ht="15" x14ac:dyDescent="0.4">
      <c r="A23" s="7" t="s">
        <v>3</v>
      </c>
      <c r="B23" s="9">
        <f>SUM(B7:B15)/9</f>
        <v>3.6666666666666674E-2</v>
      </c>
      <c r="C23" s="9">
        <f>SUM(C7:C21)/15</f>
        <v>3.6666666666666667E-2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activeCell="E21" sqref="E21"/>
    </sheetView>
  </sheetViews>
  <sheetFormatPr defaultRowHeight="12.75" x14ac:dyDescent="0.35"/>
  <cols>
    <col min="1" max="1" width="16.19921875" customWidth="1"/>
  </cols>
  <sheetData>
    <row r="1" spans="1:19" x14ac:dyDescent="0.35">
      <c r="A1" t="s">
        <v>0</v>
      </c>
    </row>
    <row r="2" spans="1:19" x14ac:dyDescent="0.35">
      <c r="A2" t="s">
        <v>91</v>
      </c>
    </row>
    <row r="3" spans="1:19" x14ac:dyDescent="0.35">
      <c r="A3" t="s">
        <v>4</v>
      </c>
      <c r="B3" s="3" t="s">
        <v>10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5">
      <c r="A4" t="s">
        <v>2</v>
      </c>
      <c r="B4">
        <v>320641</v>
      </c>
    </row>
    <row r="5" spans="1:19" x14ac:dyDescent="0.35">
      <c r="A5" t="s">
        <v>1</v>
      </c>
      <c r="B5">
        <v>5486920</v>
      </c>
      <c r="E5" s="16" t="s">
        <v>280</v>
      </c>
      <c r="F5" s="16" t="s">
        <v>34</v>
      </c>
    </row>
    <row r="6" spans="1:19" x14ac:dyDescent="0.3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9" x14ac:dyDescent="0.35">
      <c r="B7">
        <v>0.43</v>
      </c>
      <c r="E7" t="s">
        <v>388</v>
      </c>
      <c r="F7" s="52">
        <f>COUNTIF(B$7:B$27,"&gt;=0")-COUNTIF(B$7:B$27,"&gt;0.099")</f>
        <v>0</v>
      </c>
    </row>
    <row r="8" spans="1:19" x14ac:dyDescent="0.35">
      <c r="B8">
        <v>0.35</v>
      </c>
      <c r="E8" s="22" t="s">
        <v>347</v>
      </c>
      <c r="F8" s="52">
        <f>COUNTIF(B$7:B$27,"&gt;=0.1")-COUNTIF(B$7:B$27,"&gt;0.199")</f>
        <v>5</v>
      </c>
    </row>
    <row r="9" spans="1:19" x14ac:dyDescent="0.35">
      <c r="B9">
        <v>0.76</v>
      </c>
      <c r="E9" s="22" t="s">
        <v>200</v>
      </c>
      <c r="F9" s="52">
        <f>COUNTIF(B$7:B$27,"&gt;=0.2")-COUNTIF(B$7:B$27,"&gt;0.299")</f>
        <v>4</v>
      </c>
    </row>
    <row r="10" spans="1:19" x14ac:dyDescent="0.35">
      <c r="B10">
        <v>0.14000000000000001</v>
      </c>
      <c r="E10" s="22" t="s">
        <v>199</v>
      </c>
      <c r="F10" s="52">
        <f>COUNTIF(B$7:B$27,"&gt;=0.3")-COUNTIF(B$7:B$27,"&gt;0.399")</f>
        <v>3</v>
      </c>
    </row>
    <row r="11" spans="1:19" x14ac:dyDescent="0.35">
      <c r="B11">
        <v>0.31</v>
      </c>
      <c r="E11" s="22" t="s">
        <v>201</v>
      </c>
      <c r="F11" s="52">
        <f>COUNTIF(B$7:B$27,"&gt;=0.4")-COUNTIF(B$7:B$27,"&gt;0.499")</f>
        <v>4</v>
      </c>
    </row>
    <row r="12" spans="1:19" x14ac:dyDescent="0.35">
      <c r="B12">
        <v>0.46</v>
      </c>
      <c r="E12" s="22" t="s">
        <v>202</v>
      </c>
      <c r="F12" s="52">
        <f>COUNTIF(B$7:B$27,"&gt;=0.5")-COUNTIF(B$7:B$27,"&gt;0.599")</f>
        <v>1</v>
      </c>
    </row>
    <row r="13" spans="1:19" x14ac:dyDescent="0.35">
      <c r="B13">
        <v>0.52</v>
      </c>
      <c r="E13" s="22" t="s">
        <v>203</v>
      </c>
      <c r="F13" s="52">
        <f>COUNTIF(B$7:B$27,"&gt;=0.6")-COUNTIF(B$7:B$27,"&gt;0.699")</f>
        <v>0</v>
      </c>
    </row>
    <row r="14" spans="1:19" x14ac:dyDescent="0.35">
      <c r="B14">
        <v>0.34</v>
      </c>
      <c r="E14" s="22" t="s">
        <v>204</v>
      </c>
      <c r="F14" s="52">
        <f>COUNTIF(B$7:B$27,"&gt;=0.7")-COUNTIF(B$7:B$27,"&gt;0.799")</f>
        <v>3</v>
      </c>
    </row>
    <row r="15" spans="1:19" x14ac:dyDescent="0.35">
      <c r="B15">
        <v>0.48</v>
      </c>
      <c r="E15" s="22" t="s">
        <v>205</v>
      </c>
      <c r="F15" s="52">
        <f>COUNTIF(B$7:B$27,"&gt;=0.8")-COUNTIF(B$7:B$27,"&gt;0.899")</f>
        <v>0</v>
      </c>
    </row>
    <row r="16" spans="1:19" x14ac:dyDescent="0.35">
      <c r="B16">
        <v>0.2</v>
      </c>
      <c r="E16" s="22" t="s">
        <v>206</v>
      </c>
      <c r="F16" s="52">
        <f>COUNTIF(B$7:B$27,"&gt;=0.9")-COUNTIF(B$7:B$27,"&gt;0.999")</f>
        <v>0</v>
      </c>
    </row>
    <row r="17" spans="2:6" x14ac:dyDescent="0.35">
      <c r="B17">
        <v>0.71</v>
      </c>
      <c r="E17" s="22" t="s">
        <v>207</v>
      </c>
      <c r="F17" s="52">
        <f>COUNTIF(B$7:B$27,"&gt;=1.0")-COUNTIF(B$7:B$27,"&gt;1.099")</f>
        <v>1</v>
      </c>
    </row>
    <row r="18" spans="2:6" x14ac:dyDescent="0.35">
      <c r="B18">
        <v>0.45</v>
      </c>
      <c r="E18" s="22" t="s">
        <v>389</v>
      </c>
      <c r="F18" s="52">
        <f>COUNTIF(B$7:B$27,"&gt;=1.1")</f>
        <v>0</v>
      </c>
    </row>
    <row r="19" spans="2:6" x14ac:dyDescent="0.35">
      <c r="B19">
        <v>1.07</v>
      </c>
      <c r="E19" s="22"/>
    </row>
    <row r="20" spans="2:6" x14ac:dyDescent="0.35">
      <c r="B20">
        <v>0.77</v>
      </c>
      <c r="E20" s="22"/>
    </row>
    <row r="21" spans="2:6" x14ac:dyDescent="0.35">
      <c r="B21">
        <v>0.18</v>
      </c>
      <c r="E21" s="22"/>
    </row>
    <row r="22" spans="2:6" x14ac:dyDescent="0.35">
      <c r="B22">
        <v>0.27</v>
      </c>
      <c r="E22" s="22"/>
    </row>
    <row r="23" spans="2:6" x14ac:dyDescent="0.35">
      <c r="B23">
        <v>0.23</v>
      </c>
      <c r="E23" s="22"/>
    </row>
    <row r="24" spans="2:6" x14ac:dyDescent="0.35">
      <c r="B24">
        <v>0.19</v>
      </c>
      <c r="E24" s="22"/>
    </row>
    <row r="25" spans="2:6" x14ac:dyDescent="0.35">
      <c r="B25">
        <v>0.19</v>
      </c>
      <c r="E25" s="22"/>
    </row>
    <row r="26" spans="2:6" x14ac:dyDescent="0.35">
      <c r="B26">
        <v>0.12</v>
      </c>
      <c r="E26" s="22"/>
    </row>
    <row r="27" spans="2:6" x14ac:dyDescent="0.35">
      <c r="B27">
        <v>0.27</v>
      </c>
      <c r="E27" s="22"/>
    </row>
    <row r="29" spans="2:6" ht="15" x14ac:dyDescent="0.4">
      <c r="B29" s="6">
        <f>SUM(B7:B27)/21</f>
        <v>0.40190476190476188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opLeftCell="A46" workbookViewId="0">
      <selection activeCell="K70" sqref="K70"/>
    </sheetView>
  </sheetViews>
  <sheetFormatPr defaultRowHeight="12.75" x14ac:dyDescent="0.35"/>
  <cols>
    <col min="1" max="1" width="13.53125" customWidth="1"/>
    <col min="17" max="17" width="8.796875" style="22"/>
  </cols>
  <sheetData>
    <row r="1" spans="1:19" x14ac:dyDescent="0.35">
      <c r="A1" t="s">
        <v>0</v>
      </c>
    </row>
    <row r="2" spans="1:19" x14ac:dyDescent="0.35">
      <c r="A2" t="s">
        <v>91</v>
      </c>
    </row>
    <row r="3" spans="1:19" x14ac:dyDescent="0.35">
      <c r="A3" t="s">
        <v>4</v>
      </c>
      <c r="B3" s="3" t="s">
        <v>11</v>
      </c>
      <c r="C3" s="3"/>
      <c r="D3" s="3"/>
      <c r="E3" s="3"/>
      <c r="F3" s="3"/>
      <c r="G3" s="3"/>
      <c r="H3" s="3"/>
      <c r="I3" s="3"/>
      <c r="J3" s="3"/>
      <c r="K3" s="3"/>
      <c r="L3" s="3"/>
      <c r="M3" s="17" t="s">
        <v>188</v>
      </c>
      <c r="N3" s="3"/>
      <c r="O3" s="3"/>
      <c r="P3" s="3"/>
      <c r="Q3" s="286" t="s">
        <v>11</v>
      </c>
      <c r="R3" s="286"/>
      <c r="S3" s="3"/>
    </row>
    <row r="4" spans="1:19" x14ac:dyDescent="0.35">
      <c r="A4" t="s">
        <v>2</v>
      </c>
      <c r="B4">
        <v>321120</v>
      </c>
      <c r="J4" s="22"/>
      <c r="K4" s="22"/>
      <c r="L4" s="22"/>
      <c r="M4" s="22"/>
      <c r="N4" s="22"/>
      <c r="O4" s="22"/>
      <c r="P4" s="22"/>
      <c r="Q4" s="17" t="s">
        <v>280</v>
      </c>
      <c r="R4" s="35" t="s">
        <v>34</v>
      </c>
    </row>
    <row r="5" spans="1:19" x14ac:dyDescent="0.35">
      <c r="A5" t="s">
        <v>1</v>
      </c>
      <c r="B5">
        <v>5484478</v>
      </c>
      <c r="I5" s="16"/>
      <c r="K5" s="17" t="s">
        <v>187</v>
      </c>
      <c r="L5" s="17" t="s">
        <v>159</v>
      </c>
      <c r="M5" s="17" t="s">
        <v>160</v>
      </c>
      <c r="N5" s="17" t="s">
        <v>34</v>
      </c>
      <c r="O5" s="3"/>
      <c r="P5" s="3"/>
    </row>
    <row r="6" spans="1:19" x14ac:dyDescent="0.35">
      <c r="I6" s="16"/>
      <c r="K6" s="16"/>
      <c r="L6" s="16"/>
      <c r="M6" s="16"/>
      <c r="N6" s="16"/>
      <c r="O6" s="16"/>
      <c r="P6" s="16"/>
    </row>
    <row r="7" spans="1:19" x14ac:dyDescent="0.35">
      <c r="B7">
        <v>0.22</v>
      </c>
      <c r="K7" s="30">
        <v>0.22</v>
      </c>
      <c r="L7" s="27">
        <f>K7+1</f>
        <v>1.22</v>
      </c>
      <c r="M7">
        <f>LOG10(L7)</f>
        <v>8.6359830674748214E-2</v>
      </c>
      <c r="N7">
        <v>1</v>
      </c>
    </row>
    <row r="8" spans="1:19" x14ac:dyDescent="0.35">
      <c r="B8">
        <v>0.43</v>
      </c>
      <c r="K8" s="30">
        <v>0.43</v>
      </c>
      <c r="L8" s="27">
        <f t="shared" ref="L8:L67" si="0">K8+1</f>
        <v>1.43</v>
      </c>
      <c r="M8">
        <f t="shared" ref="M8:M67" si="1">LOG10(L8)</f>
        <v>0.1553360374650618</v>
      </c>
      <c r="N8">
        <f>1+N7</f>
        <v>2</v>
      </c>
      <c r="Q8" s="34" t="s">
        <v>346</v>
      </c>
      <c r="R8" s="52">
        <f>COUNTIF(K$7:K$67,"&gt;=0")-COUNTIF(K$7:K$67,"&gt;0.099")</f>
        <v>0</v>
      </c>
    </row>
    <row r="9" spans="1:19" x14ac:dyDescent="0.35">
      <c r="B9">
        <v>0.44</v>
      </c>
      <c r="K9" s="30">
        <v>0.44</v>
      </c>
      <c r="L9" s="27">
        <f t="shared" si="0"/>
        <v>1.44</v>
      </c>
      <c r="M9">
        <f t="shared" si="1"/>
        <v>0.15836249209524964</v>
      </c>
      <c r="N9">
        <f t="shared" ref="N9:N67" si="2">1+N8</f>
        <v>3</v>
      </c>
      <c r="Q9" s="34" t="s">
        <v>347</v>
      </c>
      <c r="R9" s="52">
        <f>COUNTIF(K$7:K$67,"&gt;=0.1")-COUNTIF(K$7:K$67,"&gt;0.199")</f>
        <v>0</v>
      </c>
    </row>
    <row r="10" spans="1:19" x14ac:dyDescent="0.35">
      <c r="B10">
        <v>0.44</v>
      </c>
      <c r="K10" s="30">
        <v>0.44</v>
      </c>
      <c r="L10" s="27">
        <f t="shared" si="0"/>
        <v>1.44</v>
      </c>
      <c r="M10">
        <f t="shared" si="1"/>
        <v>0.15836249209524964</v>
      </c>
      <c r="N10">
        <f t="shared" si="2"/>
        <v>4</v>
      </c>
      <c r="Q10" s="34" t="s">
        <v>200</v>
      </c>
      <c r="R10" s="52">
        <f>COUNTIF(K$7:K$67,"&gt;=0.2")-COUNTIF(K$7:K$67,"&gt;0.299")</f>
        <v>1</v>
      </c>
    </row>
    <row r="11" spans="1:19" x14ac:dyDescent="0.35">
      <c r="B11">
        <v>0.46</v>
      </c>
      <c r="K11" s="30">
        <v>0.46</v>
      </c>
      <c r="L11" s="27">
        <f t="shared" si="0"/>
        <v>1.46</v>
      </c>
      <c r="M11">
        <f t="shared" si="1"/>
        <v>0.16435285578443709</v>
      </c>
      <c r="N11">
        <f t="shared" si="2"/>
        <v>5</v>
      </c>
      <c r="Q11" s="34" t="s">
        <v>199</v>
      </c>
      <c r="R11" s="52">
        <f>COUNTIF(K$7:K$67,"&gt;=0.3")-COUNTIF(K$7:K$67,"&gt;0.399")</f>
        <v>0</v>
      </c>
    </row>
    <row r="12" spans="1:19" x14ac:dyDescent="0.35">
      <c r="B12">
        <v>0.48</v>
      </c>
      <c r="K12" s="30">
        <v>0.48</v>
      </c>
      <c r="L12" s="27">
        <f t="shared" si="0"/>
        <v>1.48</v>
      </c>
      <c r="M12">
        <f t="shared" si="1"/>
        <v>0.17026171539495738</v>
      </c>
      <c r="N12">
        <f t="shared" si="2"/>
        <v>6</v>
      </c>
      <c r="Q12" s="34" t="s">
        <v>201</v>
      </c>
      <c r="R12" s="52">
        <f>COUNTIF(K$7:K$67,"&gt;=0.4")-COUNTIF(K$7:K$67,"&gt;0.499")</f>
        <v>5</v>
      </c>
    </row>
    <row r="13" spans="1:19" x14ac:dyDescent="0.35">
      <c r="B13">
        <v>0.51</v>
      </c>
      <c r="K13" s="30">
        <v>0.51</v>
      </c>
      <c r="L13" s="27">
        <f t="shared" si="0"/>
        <v>1.51</v>
      </c>
      <c r="M13">
        <f t="shared" si="1"/>
        <v>0.17897694729316943</v>
      </c>
      <c r="N13">
        <f t="shared" si="2"/>
        <v>7</v>
      </c>
      <c r="Q13" s="34" t="s">
        <v>202</v>
      </c>
      <c r="R13" s="52">
        <f>COUNTIF(K$7:K$67,"&gt;=0.5")-COUNTIF(K$7:K$67,"&gt;0.599")</f>
        <v>8</v>
      </c>
    </row>
    <row r="14" spans="1:19" x14ac:dyDescent="0.35">
      <c r="B14">
        <v>0.53</v>
      </c>
      <c r="K14" s="30">
        <v>0.53</v>
      </c>
      <c r="L14" s="27">
        <f t="shared" si="0"/>
        <v>1.53</v>
      </c>
      <c r="M14">
        <f t="shared" si="1"/>
        <v>0.18469143081759881</v>
      </c>
      <c r="N14">
        <f t="shared" si="2"/>
        <v>8</v>
      </c>
      <c r="Q14" s="34" t="s">
        <v>203</v>
      </c>
      <c r="R14" s="52">
        <f>COUNTIF(K$7:K$67,"&gt;=0.6")-COUNTIF(K$7:K$67,"&gt;0.699")</f>
        <v>11</v>
      </c>
    </row>
    <row r="15" spans="1:19" x14ac:dyDescent="0.35">
      <c r="B15">
        <v>0.54</v>
      </c>
      <c r="K15" s="30">
        <v>0.54</v>
      </c>
      <c r="L15" s="27">
        <f t="shared" si="0"/>
        <v>1.54</v>
      </c>
      <c r="M15">
        <f t="shared" si="1"/>
        <v>0.18752072083646307</v>
      </c>
      <c r="N15">
        <f t="shared" si="2"/>
        <v>9</v>
      </c>
      <c r="Q15" s="34" t="s">
        <v>204</v>
      </c>
      <c r="R15" s="52">
        <f>COUNTIF(K$7:K$67,"&gt;=0.7")-COUNTIF(K$7:K$67,"&gt;0.799")</f>
        <v>10</v>
      </c>
    </row>
    <row r="16" spans="1:19" x14ac:dyDescent="0.35">
      <c r="B16">
        <v>0.56000000000000005</v>
      </c>
      <c r="K16" s="30">
        <v>0.56000000000000005</v>
      </c>
      <c r="L16" s="27">
        <f t="shared" si="0"/>
        <v>1.56</v>
      </c>
      <c r="M16">
        <f t="shared" si="1"/>
        <v>0.19312459835446161</v>
      </c>
      <c r="N16">
        <f t="shared" si="2"/>
        <v>10</v>
      </c>
      <c r="Q16" s="34" t="s">
        <v>205</v>
      </c>
      <c r="R16" s="52">
        <f>COUNTIF(K$7:K$67,"&gt;=0.8")-COUNTIF(K$7:K$67,"&gt;0.899")</f>
        <v>10</v>
      </c>
    </row>
    <row r="17" spans="2:18" x14ac:dyDescent="0.35">
      <c r="B17">
        <v>0.56999999999999995</v>
      </c>
      <c r="K17" s="30">
        <v>0.56999999999999995</v>
      </c>
      <c r="L17" s="27">
        <f t="shared" si="0"/>
        <v>1.5699999999999998</v>
      </c>
      <c r="M17">
        <f t="shared" si="1"/>
        <v>0.19589965240923368</v>
      </c>
      <c r="N17">
        <f t="shared" si="2"/>
        <v>11</v>
      </c>
      <c r="Q17" s="34" t="s">
        <v>206</v>
      </c>
      <c r="R17" s="52">
        <f>COUNTIF(K$7:K$67,"&gt;=0.9")-COUNTIF(K$7:K$67,"&gt;0.999")</f>
        <v>5</v>
      </c>
    </row>
    <row r="18" spans="2:18" x14ac:dyDescent="0.35">
      <c r="B18">
        <v>0.56999999999999995</v>
      </c>
      <c r="K18" s="30">
        <v>0.56999999999999995</v>
      </c>
      <c r="L18" s="27">
        <f t="shared" si="0"/>
        <v>1.5699999999999998</v>
      </c>
      <c r="M18">
        <f t="shared" si="1"/>
        <v>0.19589965240923368</v>
      </c>
      <c r="N18">
        <f t="shared" si="2"/>
        <v>12</v>
      </c>
      <c r="Q18" s="34" t="s">
        <v>207</v>
      </c>
      <c r="R18" s="52">
        <f>COUNTIF(K$7:K$67,"&gt;=1.0")-COUNTIF(K$7:K$67,"&gt;1.099")</f>
        <v>4</v>
      </c>
    </row>
    <row r="19" spans="2:18" x14ac:dyDescent="0.35">
      <c r="B19">
        <v>0.57999999999999996</v>
      </c>
      <c r="K19" s="30">
        <v>0.57999999999999996</v>
      </c>
      <c r="L19" s="27">
        <f t="shared" si="0"/>
        <v>1.58</v>
      </c>
      <c r="M19">
        <f t="shared" si="1"/>
        <v>0.19865708695442263</v>
      </c>
      <c r="N19">
        <f t="shared" si="2"/>
        <v>13</v>
      </c>
      <c r="Q19" s="34" t="s">
        <v>208</v>
      </c>
      <c r="R19" s="52">
        <f>COUNTIF(K$7:K$67,"&gt;=1.1")-COUNTIF(K$7:K$67,"&gt;1.199")</f>
        <v>0</v>
      </c>
    </row>
    <row r="20" spans="2:18" x14ac:dyDescent="0.35">
      <c r="B20">
        <v>0.59</v>
      </c>
      <c r="K20" s="30">
        <v>0.59</v>
      </c>
      <c r="L20" s="27">
        <f t="shared" si="0"/>
        <v>1.5899999999999999</v>
      </c>
      <c r="M20">
        <f t="shared" si="1"/>
        <v>0.20139712432045145</v>
      </c>
      <c r="N20">
        <f t="shared" si="2"/>
        <v>14</v>
      </c>
      <c r="Q20" s="34" t="s">
        <v>209</v>
      </c>
      <c r="R20" s="52">
        <f>COUNTIF(K$7:K$67,"&gt;=1.2")-COUNTIF(K$7:K$67,"&gt;1.299")</f>
        <v>1</v>
      </c>
    </row>
    <row r="21" spans="2:18" x14ac:dyDescent="0.35">
      <c r="B21">
        <v>0.6</v>
      </c>
      <c r="K21" s="30">
        <v>0.6</v>
      </c>
      <c r="L21" s="27">
        <f t="shared" si="0"/>
        <v>1.6</v>
      </c>
      <c r="M21">
        <f t="shared" si="1"/>
        <v>0.20411998265592479</v>
      </c>
      <c r="N21">
        <f t="shared" si="2"/>
        <v>15</v>
      </c>
      <c r="Q21" s="34" t="s">
        <v>210</v>
      </c>
      <c r="R21" s="52">
        <f>COUNTIF(K$7:K$67,"&gt;=1.3")-COUNTIF(K$7:K$67,"&gt;1.399")</f>
        <v>1</v>
      </c>
    </row>
    <row r="22" spans="2:18" x14ac:dyDescent="0.35">
      <c r="B22">
        <v>0.61</v>
      </c>
      <c r="K22" s="30">
        <v>0.61</v>
      </c>
      <c r="L22" s="27">
        <f t="shared" si="0"/>
        <v>1.6099999999999999</v>
      </c>
      <c r="M22">
        <f t="shared" si="1"/>
        <v>0.20682587603184968</v>
      </c>
      <c r="N22">
        <f t="shared" si="2"/>
        <v>16</v>
      </c>
      <c r="Q22" s="34" t="s">
        <v>211</v>
      </c>
      <c r="R22" s="52">
        <f>COUNTIF(K$7:K$67,"&gt;=1.4")-COUNTIF(K$7:K$67,"&gt;1.499")</f>
        <v>0</v>
      </c>
    </row>
    <row r="23" spans="2:18" x14ac:dyDescent="0.35">
      <c r="B23">
        <v>0.61</v>
      </c>
      <c r="K23" s="30">
        <v>0.61</v>
      </c>
      <c r="L23" s="27">
        <f t="shared" si="0"/>
        <v>1.6099999999999999</v>
      </c>
      <c r="M23">
        <f t="shared" si="1"/>
        <v>0.20682587603184968</v>
      </c>
      <c r="N23">
        <f t="shared" si="2"/>
        <v>17</v>
      </c>
      <c r="Q23" s="34" t="s">
        <v>317</v>
      </c>
      <c r="R23" s="52">
        <f>COUNTIF(K$7:K$67,"&gt;=1.5")-COUNTIF(K$7:K$67,"&gt;1.999")</f>
        <v>0</v>
      </c>
    </row>
    <row r="24" spans="2:18" x14ac:dyDescent="0.35">
      <c r="B24">
        <v>0.63</v>
      </c>
      <c r="K24" s="30">
        <v>0.63</v>
      </c>
      <c r="L24" s="27">
        <f t="shared" si="0"/>
        <v>1.63</v>
      </c>
      <c r="M24">
        <f t="shared" si="1"/>
        <v>0.21218760440395779</v>
      </c>
      <c r="N24">
        <f t="shared" si="2"/>
        <v>18</v>
      </c>
      <c r="Q24" s="34" t="s">
        <v>352</v>
      </c>
      <c r="R24" s="52">
        <f>COUNTIF(K$7:K$67,"&gt;=2.0")-COUNTIF(K$7:K$67,"&gt;2.999")</f>
        <v>0</v>
      </c>
    </row>
    <row r="25" spans="2:18" x14ac:dyDescent="0.35">
      <c r="B25">
        <v>0.63</v>
      </c>
      <c r="K25" s="30">
        <v>0.63</v>
      </c>
      <c r="L25" s="27">
        <f t="shared" si="0"/>
        <v>1.63</v>
      </c>
      <c r="M25">
        <f t="shared" si="1"/>
        <v>0.21218760440395779</v>
      </c>
      <c r="N25">
        <f t="shared" si="2"/>
        <v>19</v>
      </c>
      <c r="Q25" s="34" t="s">
        <v>353</v>
      </c>
      <c r="R25" s="52">
        <f>COUNTIF(K$7:K$67,"&gt;=3.0")-COUNTIF(K$7:K$67,"&gt;3.999")</f>
        <v>0</v>
      </c>
    </row>
    <row r="26" spans="2:18" x14ac:dyDescent="0.35">
      <c r="B26">
        <v>0.63</v>
      </c>
      <c r="K26" s="30">
        <v>0.63</v>
      </c>
      <c r="L26" s="27">
        <f t="shared" si="0"/>
        <v>1.63</v>
      </c>
      <c r="M26">
        <f t="shared" si="1"/>
        <v>0.21218760440395779</v>
      </c>
      <c r="N26">
        <f t="shared" si="2"/>
        <v>20</v>
      </c>
      <c r="Q26" s="34" t="s">
        <v>354</v>
      </c>
      <c r="R26" s="52">
        <f>COUNTIF(K$7:K$67,"&gt;=4.0")-COUNTIF(K$7:K$67,"&gt;4.999")</f>
        <v>1</v>
      </c>
    </row>
    <row r="27" spans="2:18" x14ac:dyDescent="0.35">
      <c r="B27">
        <v>0.64</v>
      </c>
      <c r="C27" s="18" t="s">
        <v>198</v>
      </c>
      <c r="D27" s="18" t="s">
        <v>191</v>
      </c>
      <c r="K27" s="30">
        <v>0.64</v>
      </c>
      <c r="L27" s="27">
        <f t="shared" si="0"/>
        <v>1.6400000000000001</v>
      </c>
      <c r="M27">
        <f t="shared" si="1"/>
        <v>0.21484384804769791</v>
      </c>
      <c r="N27">
        <f t="shared" si="2"/>
        <v>21</v>
      </c>
      <c r="Q27" s="34" t="s">
        <v>355</v>
      </c>
      <c r="R27" s="52">
        <f>COUNTIF(K$7:K$67,"&gt;=5.0")-COUNTIF(K$7:K$67,"&gt;5.999")</f>
        <v>1</v>
      </c>
    </row>
    <row r="28" spans="2:18" x14ac:dyDescent="0.35">
      <c r="B28">
        <v>0.66</v>
      </c>
      <c r="D28" s="18" t="s">
        <v>189</v>
      </c>
      <c r="K28" s="30">
        <v>0.66</v>
      </c>
      <c r="L28" s="27">
        <f t="shared" si="0"/>
        <v>1.6600000000000001</v>
      </c>
      <c r="M28">
        <f t="shared" si="1"/>
        <v>0.22010808804005513</v>
      </c>
      <c r="N28">
        <f t="shared" si="2"/>
        <v>22</v>
      </c>
      <c r="Q28" s="34" t="s">
        <v>356</v>
      </c>
      <c r="R28" s="52">
        <f>COUNTIF(K$7:K$67,"&gt;=6.0")-COUNTIF(K$7:K$67,"&gt;6.999")</f>
        <v>0</v>
      </c>
    </row>
    <row r="29" spans="2:18" x14ac:dyDescent="0.35">
      <c r="B29">
        <v>0.66</v>
      </c>
      <c r="K29" s="30">
        <v>0.66</v>
      </c>
      <c r="L29" s="27">
        <f t="shared" si="0"/>
        <v>1.6600000000000001</v>
      </c>
      <c r="M29">
        <f t="shared" si="1"/>
        <v>0.22010808804005513</v>
      </c>
      <c r="N29">
        <f t="shared" si="2"/>
        <v>23</v>
      </c>
      <c r="Q29" s="34" t="s">
        <v>357</v>
      </c>
      <c r="R29" s="52">
        <f>COUNTIF(K$7:K$67,"&gt;=7.0")-COUNTIF(K$7:K$67,"&gt;7.999")</f>
        <v>2</v>
      </c>
    </row>
    <row r="30" spans="2:18" x14ac:dyDescent="0.35">
      <c r="B30">
        <v>0.66</v>
      </c>
      <c r="D30" s="18" t="s">
        <v>190</v>
      </c>
      <c r="K30" s="30">
        <v>0.66</v>
      </c>
      <c r="L30" s="27">
        <f t="shared" si="0"/>
        <v>1.6600000000000001</v>
      </c>
      <c r="M30">
        <f t="shared" si="1"/>
        <v>0.22010808804005513</v>
      </c>
      <c r="N30">
        <f t="shared" si="2"/>
        <v>24</v>
      </c>
      <c r="Q30" s="34" t="s">
        <v>358</v>
      </c>
      <c r="R30" s="52">
        <f>COUNTIF(K$7:K$67,"&gt;=8.0")-COUNTIF(K$7:K$67,"&gt;8.999")</f>
        <v>1</v>
      </c>
    </row>
    <row r="31" spans="2:18" x14ac:dyDescent="0.35">
      <c r="B31">
        <v>0.67</v>
      </c>
      <c r="K31" s="30">
        <v>0.67</v>
      </c>
      <c r="L31" s="27">
        <f t="shared" si="0"/>
        <v>1.67</v>
      </c>
      <c r="M31">
        <f t="shared" si="1"/>
        <v>0.22271647114758325</v>
      </c>
      <c r="N31">
        <f t="shared" si="2"/>
        <v>25</v>
      </c>
      <c r="Q31" s="34" t="s">
        <v>359</v>
      </c>
      <c r="R31" s="52">
        <f>COUNTIF(K$7:K$67,"&gt;=9.0")-COUNTIF(K$7:K$67,"&gt;9.999")</f>
        <v>0</v>
      </c>
    </row>
    <row r="32" spans="2:18" x14ac:dyDescent="0.35">
      <c r="B32">
        <v>0.7</v>
      </c>
      <c r="K32" s="30">
        <v>0.7</v>
      </c>
      <c r="L32" s="27">
        <f t="shared" si="0"/>
        <v>1.7</v>
      </c>
      <c r="M32">
        <f t="shared" si="1"/>
        <v>0.23044892137827391</v>
      </c>
      <c r="N32">
        <f t="shared" si="2"/>
        <v>26</v>
      </c>
    </row>
    <row r="33" spans="2:14" x14ac:dyDescent="0.35">
      <c r="B33">
        <v>0.7</v>
      </c>
      <c r="K33" s="30">
        <v>0.7</v>
      </c>
      <c r="L33" s="27">
        <f t="shared" si="0"/>
        <v>1.7</v>
      </c>
      <c r="M33">
        <f t="shared" si="1"/>
        <v>0.23044892137827391</v>
      </c>
      <c r="N33">
        <f t="shared" si="2"/>
        <v>27</v>
      </c>
    </row>
    <row r="34" spans="2:14" x14ac:dyDescent="0.35">
      <c r="B34">
        <v>0.7</v>
      </c>
      <c r="K34" s="30">
        <v>0.7</v>
      </c>
      <c r="L34" s="27">
        <f t="shared" si="0"/>
        <v>1.7</v>
      </c>
      <c r="M34">
        <f t="shared" si="1"/>
        <v>0.23044892137827391</v>
      </c>
      <c r="N34">
        <f t="shared" si="2"/>
        <v>28</v>
      </c>
    </row>
    <row r="35" spans="2:14" x14ac:dyDescent="0.35">
      <c r="B35">
        <v>0.71</v>
      </c>
      <c r="K35" s="30">
        <v>0.71</v>
      </c>
      <c r="L35" s="27">
        <f t="shared" si="0"/>
        <v>1.71</v>
      </c>
      <c r="M35">
        <f t="shared" si="1"/>
        <v>0.23299611039215382</v>
      </c>
      <c r="N35">
        <f t="shared" si="2"/>
        <v>29</v>
      </c>
    </row>
    <row r="36" spans="2:14" x14ac:dyDescent="0.35">
      <c r="B36">
        <v>0.71</v>
      </c>
      <c r="K36" s="30">
        <v>0.71</v>
      </c>
      <c r="L36" s="27">
        <f t="shared" si="0"/>
        <v>1.71</v>
      </c>
      <c r="M36">
        <f t="shared" si="1"/>
        <v>0.23299611039215382</v>
      </c>
      <c r="N36">
        <f t="shared" si="2"/>
        <v>30</v>
      </c>
    </row>
    <row r="37" spans="2:14" x14ac:dyDescent="0.35">
      <c r="B37">
        <v>0.75</v>
      </c>
      <c r="K37" s="30">
        <v>0.75</v>
      </c>
      <c r="L37" s="27">
        <f t="shared" si="0"/>
        <v>1.75</v>
      </c>
      <c r="M37">
        <f t="shared" si="1"/>
        <v>0.24303804868629444</v>
      </c>
      <c r="N37">
        <f t="shared" si="2"/>
        <v>31</v>
      </c>
    </row>
    <row r="38" spans="2:14" x14ac:dyDescent="0.35">
      <c r="B38">
        <v>0.76</v>
      </c>
      <c r="K38" s="30">
        <v>0.76</v>
      </c>
      <c r="L38" s="27">
        <f t="shared" si="0"/>
        <v>1.76</v>
      </c>
      <c r="M38">
        <f t="shared" si="1"/>
        <v>0.24551266781414982</v>
      </c>
      <c r="N38">
        <f t="shared" si="2"/>
        <v>32</v>
      </c>
    </row>
    <row r="39" spans="2:14" x14ac:dyDescent="0.35">
      <c r="B39">
        <v>0.77</v>
      </c>
      <c r="C39" t="s">
        <v>12</v>
      </c>
      <c r="K39" s="30">
        <v>0.77</v>
      </c>
      <c r="L39" s="27">
        <f t="shared" si="0"/>
        <v>1.77</v>
      </c>
      <c r="M39">
        <f t="shared" si="1"/>
        <v>0.24797326636180664</v>
      </c>
      <c r="N39">
        <f t="shared" si="2"/>
        <v>33</v>
      </c>
    </row>
    <row r="40" spans="2:14" x14ac:dyDescent="0.35">
      <c r="B40">
        <v>0.77</v>
      </c>
      <c r="K40" s="30">
        <v>0.77</v>
      </c>
      <c r="L40" s="27">
        <f t="shared" si="0"/>
        <v>1.77</v>
      </c>
      <c r="M40">
        <f t="shared" si="1"/>
        <v>0.24797326636180664</v>
      </c>
      <c r="N40">
        <f t="shared" si="2"/>
        <v>34</v>
      </c>
    </row>
    <row r="41" spans="2:14" x14ac:dyDescent="0.35">
      <c r="B41">
        <v>0.78</v>
      </c>
      <c r="K41" s="30">
        <v>0.78</v>
      </c>
      <c r="L41" s="27">
        <f t="shared" si="0"/>
        <v>1.78</v>
      </c>
      <c r="M41">
        <f t="shared" si="1"/>
        <v>0.250420002308894</v>
      </c>
      <c r="N41">
        <f t="shared" si="2"/>
        <v>35</v>
      </c>
    </row>
    <row r="42" spans="2:14" x14ac:dyDescent="0.35">
      <c r="B42">
        <v>0.8</v>
      </c>
      <c r="K42" s="30">
        <v>0.8</v>
      </c>
      <c r="L42" s="27">
        <f t="shared" si="0"/>
        <v>1.8</v>
      </c>
      <c r="M42">
        <f t="shared" si="1"/>
        <v>0.25527250510330607</v>
      </c>
      <c r="N42">
        <f t="shared" si="2"/>
        <v>36</v>
      </c>
    </row>
    <row r="43" spans="2:14" x14ac:dyDescent="0.35">
      <c r="B43">
        <v>0.82</v>
      </c>
      <c r="K43" s="30">
        <v>0.82</v>
      </c>
      <c r="L43" s="27">
        <f t="shared" si="0"/>
        <v>1.8199999999999998</v>
      </c>
      <c r="M43">
        <f t="shared" si="1"/>
        <v>0.26007138798507473</v>
      </c>
      <c r="N43">
        <f t="shared" si="2"/>
        <v>37</v>
      </c>
    </row>
    <row r="44" spans="2:14" x14ac:dyDescent="0.35">
      <c r="B44">
        <v>0.83</v>
      </c>
      <c r="K44" s="30">
        <v>0.83</v>
      </c>
      <c r="L44" s="27">
        <f t="shared" si="0"/>
        <v>1.83</v>
      </c>
      <c r="M44">
        <f t="shared" si="1"/>
        <v>0.26245108973042947</v>
      </c>
      <c r="N44">
        <f t="shared" si="2"/>
        <v>38</v>
      </c>
    </row>
    <row r="45" spans="2:14" x14ac:dyDescent="0.35">
      <c r="B45">
        <v>0.84</v>
      </c>
      <c r="K45" s="30">
        <v>0.84</v>
      </c>
      <c r="L45" s="27">
        <f t="shared" si="0"/>
        <v>1.8399999999999999</v>
      </c>
      <c r="M45">
        <f t="shared" si="1"/>
        <v>0.26481782300953643</v>
      </c>
      <c r="N45">
        <f t="shared" si="2"/>
        <v>39</v>
      </c>
    </row>
    <row r="46" spans="2:14" x14ac:dyDescent="0.35">
      <c r="B46">
        <v>0.85</v>
      </c>
      <c r="K46" s="30">
        <v>0.85</v>
      </c>
      <c r="L46" s="27">
        <f t="shared" si="0"/>
        <v>1.85</v>
      </c>
      <c r="M46">
        <f t="shared" si="1"/>
        <v>0.26717172840301384</v>
      </c>
      <c r="N46">
        <f t="shared" si="2"/>
        <v>40</v>
      </c>
    </row>
    <row r="47" spans="2:14" x14ac:dyDescent="0.35">
      <c r="B47">
        <v>0.85</v>
      </c>
      <c r="K47" s="30">
        <v>0.85</v>
      </c>
      <c r="L47" s="27">
        <f t="shared" si="0"/>
        <v>1.85</v>
      </c>
      <c r="M47">
        <f t="shared" si="1"/>
        <v>0.26717172840301384</v>
      </c>
      <c r="N47">
        <f t="shared" si="2"/>
        <v>41</v>
      </c>
    </row>
    <row r="48" spans="2:14" x14ac:dyDescent="0.35">
      <c r="B48">
        <v>0.86</v>
      </c>
      <c r="K48" s="30">
        <v>0.86</v>
      </c>
      <c r="L48" s="27">
        <f t="shared" si="0"/>
        <v>1.8599999999999999</v>
      </c>
      <c r="M48">
        <f t="shared" si="1"/>
        <v>0.26951294421791627</v>
      </c>
      <c r="N48">
        <f t="shared" si="2"/>
        <v>42</v>
      </c>
    </row>
    <row r="49" spans="2:14" x14ac:dyDescent="0.35">
      <c r="B49">
        <v>0.87</v>
      </c>
      <c r="K49" s="30">
        <v>0.87</v>
      </c>
      <c r="L49" s="27">
        <f t="shared" si="0"/>
        <v>1.87</v>
      </c>
      <c r="M49">
        <f t="shared" si="1"/>
        <v>0.27184160653649897</v>
      </c>
      <c r="N49">
        <f t="shared" si="2"/>
        <v>43</v>
      </c>
    </row>
    <row r="50" spans="2:14" x14ac:dyDescent="0.35">
      <c r="B50">
        <v>0.89</v>
      </c>
      <c r="K50" s="30">
        <v>0.89</v>
      </c>
      <c r="L50" s="27">
        <f t="shared" si="0"/>
        <v>1.8900000000000001</v>
      </c>
      <c r="M50">
        <f t="shared" si="1"/>
        <v>0.27646180417324417</v>
      </c>
      <c r="N50">
        <f t="shared" si="2"/>
        <v>44</v>
      </c>
    </row>
    <row r="51" spans="2:14" x14ac:dyDescent="0.35">
      <c r="B51">
        <v>0.89</v>
      </c>
      <c r="K51" s="30">
        <v>0.89</v>
      </c>
      <c r="L51" s="27">
        <f t="shared" si="0"/>
        <v>1.8900000000000001</v>
      </c>
      <c r="M51">
        <f t="shared" si="1"/>
        <v>0.27646180417324417</v>
      </c>
      <c r="N51">
        <f t="shared" si="2"/>
        <v>45</v>
      </c>
    </row>
    <row r="52" spans="2:14" x14ac:dyDescent="0.35">
      <c r="B52">
        <v>0.9</v>
      </c>
      <c r="K52" s="30">
        <v>0.9</v>
      </c>
      <c r="L52" s="27">
        <f t="shared" si="0"/>
        <v>1.9</v>
      </c>
      <c r="M52">
        <f t="shared" si="1"/>
        <v>0.27875360095282892</v>
      </c>
      <c r="N52">
        <f t="shared" si="2"/>
        <v>46</v>
      </c>
    </row>
    <row r="53" spans="2:14" x14ac:dyDescent="0.35">
      <c r="B53">
        <v>0.92</v>
      </c>
      <c r="K53" s="30">
        <v>0.92</v>
      </c>
      <c r="L53" s="27">
        <f t="shared" si="0"/>
        <v>1.92</v>
      </c>
      <c r="M53">
        <f t="shared" si="1"/>
        <v>0.28330122870354957</v>
      </c>
      <c r="N53">
        <f t="shared" si="2"/>
        <v>47</v>
      </c>
    </row>
    <row r="54" spans="2:14" x14ac:dyDescent="0.35">
      <c r="B54">
        <v>0.95</v>
      </c>
      <c r="K54" s="30">
        <v>0.95</v>
      </c>
      <c r="L54" s="27">
        <f t="shared" si="0"/>
        <v>1.95</v>
      </c>
      <c r="M54">
        <f t="shared" si="1"/>
        <v>0.29003461136251801</v>
      </c>
      <c r="N54">
        <f t="shared" si="2"/>
        <v>48</v>
      </c>
    </row>
    <row r="55" spans="2:14" x14ac:dyDescent="0.35">
      <c r="B55">
        <v>0.95</v>
      </c>
      <c r="K55" s="30">
        <v>0.95</v>
      </c>
      <c r="L55" s="27">
        <f t="shared" si="0"/>
        <v>1.95</v>
      </c>
      <c r="M55">
        <f t="shared" si="1"/>
        <v>0.29003461136251801</v>
      </c>
      <c r="N55">
        <f t="shared" si="2"/>
        <v>49</v>
      </c>
    </row>
    <row r="56" spans="2:14" x14ac:dyDescent="0.35">
      <c r="B56">
        <v>0.96</v>
      </c>
      <c r="K56" s="30">
        <v>0.96</v>
      </c>
      <c r="L56" s="27">
        <f t="shared" si="0"/>
        <v>1.96</v>
      </c>
      <c r="M56">
        <f t="shared" si="1"/>
        <v>0.29225607135647602</v>
      </c>
      <c r="N56">
        <f t="shared" si="2"/>
        <v>50</v>
      </c>
    </row>
    <row r="57" spans="2:14" x14ac:dyDescent="0.35">
      <c r="B57">
        <v>1.01</v>
      </c>
      <c r="K57" s="30">
        <v>1.01</v>
      </c>
      <c r="L57" s="27">
        <f t="shared" si="0"/>
        <v>2.0099999999999998</v>
      </c>
      <c r="M57">
        <f t="shared" si="1"/>
        <v>0.30319605742048883</v>
      </c>
      <c r="N57">
        <f t="shared" si="2"/>
        <v>51</v>
      </c>
    </row>
    <row r="58" spans="2:14" x14ac:dyDescent="0.35">
      <c r="B58">
        <v>1.04</v>
      </c>
      <c r="K58" s="30">
        <v>1.04</v>
      </c>
      <c r="L58" s="27">
        <f t="shared" si="0"/>
        <v>2.04</v>
      </c>
      <c r="M58">
        <f t="shared" si="1"/>
        <v>0.30963016742589877</v>
      </c>
      <c r="N58">
        <f t="shared" si="2"/>
        <v>52</v>
      </c>
    </row>
    <row r="59" spans="2:14" x14ac:dyDescent="0.35">
      <c r="B59">
        <v>1.05</v>
      </c>
      <c r="K59" s="30">
        <v>1.05</v>
      </c>
      <c r="L59" s="27">
        <f t="shared" si="0"/>
        <v>2.0499999999999998</v>
      </c>
      <c r="M59">
        <f t="shared" si="1"/>
        <v>0.31175386105575426</v>
      </c>
      <c r="N59">
        <f t="shared" si="2"/>
        <v>53</v>
      </c>
    </row>
    <row r="60" spans="2:14" x14ac:dyDescent="0.35">
      <c r="B60">
        <v>1.06</v>
      </c>
      <c r="K60" s="30">
        <v>1.06</v>
      </c>
      <c r="L60" s="27">
        <f t="shared" si="0"/>
        <v>2.06</v>
      </c>
      <c r="M60">
        <f t="shared" si="1"/>
        <v>0.31386722036915343</v>
      </c>
      <c r="N60">
        <f t="shared" si="2"/>
        <v>54</v>
      </c>
    </row>
    <row r="61" spans="2:14" x14ac:dyDescent="0.35">
      <c r="B61">
        <v>1.28</v>
      </c>
      <c r="K61" s="30">
        <v>1.28</v>
      </c>
      <c r="L61" s="27">
        <f t="shared" si="0"/>
        <v>2.2800000000000002</v>
      </c>
      <c r="M61">
        <f t="shared" si="1"/>
        <v>0.35793484700045386</v>
      </c>
      <c r="N61">
        <f t="shared" si="2"/>
        <v>55</v>
      </c>
    </row>
    <row r="62" spans="2:14" x14ac:dyDescent="0.35">
      <c r="B62">
        <v>1.36</v>
      </c>
      <c r="K62" s="30">
        <v>1.36</v>
      </c>
      <c r="L62" s="27">
        <f t="shared" si="0"/>
        <v>2.3600000000000003</v>
      </c>
      <c r="M62">
        <f t="shared" si="1"/>
        <v>0.37291200297010663</v>
      </c>
      <c r="N62">
        <f t="shared" si="2"/>
        <v>56</v>
      </c>
    </row>
    <row r="63" spans="2:14" x14ac:dyDescent="0.35">
      <c r="B63">
        <v>4.66</v>
      </c>
      <c r="K63">
        <v>4.66</v>
      </c>
      <c r="L63">
        <f t="shared" si="0"/>
        <v>5.66</v>
      </c>
      <c r="M63">
        <f t="shared" si="1"/>
        <v>0.75281643118827146</v>
      </c>
      <c r="N63">
        <f t="shared" si="2"/>
        <v>57</v>
      </c>
    </row>
    <row r="64" spans="2:14" x14ac:dyDescent="0.35">
      <c r="B64">
        <v>5.81</v>
      </c>
      <c r="K64">
        <v>5.81</v>
      </c>
      <c r="L64">
        <f t="shared" si="0"/>
        <v>6.81</v>
      </c>
      <c r="M64">
        <f t="shared" si="1"/>
        <v>0.83314711191278512</v>
      </c>
      <c r="N64">
        <f t="shared" si="2"/>
        <v>58</v>
      </c>
    </row>
    <row r="65" spans="2:14" x14ac:dyDescent="0.35">
      <c r="B65">
        <v>7.39</v>
      </c>
      <c r="K65">
        <v>7.39</v>
      </c>
      <c r="L65">
        <f t="shared" si="0"/>
        <v>8.39</v>
      </c>
      <c r="M65">
        <f t="shared" si="1"/>
        <v>0.92376196082870032</v>
      </c>
      <c r="N65">
        <f t="shared" si="2"/>
        <v>59</v>
      </c>
    </row>
    <row r="66" spans="2:14" x14ac:dyDescent="0.35">
      <c r="B66">
        <v>7.4</v>
      </c>
      <c r="K66">
        <v>7.4</v>
      </c>
      <c r="L66">
        <f t="shared" si="0"/>
        <v>8.4</v>
      </c>
      <c r="M66">
        <f t="shared" si="1"/>
        <v>0.9242792860618817</v>
      </c>
      <c r="N66">
        <f t="shared" si="2"/>
        <v>60</v>
      </c>
    </row>
    <row r="67" spans="2:14" x14ac:dyDescent="0.35">
      <c r="B67">
        <v>8.25</v>
      </c>
      <c r="K67">
        <v>8.25</v>
      </c>
      <c r="L67">
        <f t="shared" si="0"/>
        <v>9.25</v>
      </c>
      <c r="M67">
        <f t="shared" si="1"/>
        <v>0.96614173273903259</v>
      </c>
      <c r="N67">
        <f t="shared" si="2"/>
        <v>61</v>
      </c>
    </row>
    <row r="69" spans="2:14" ht="15" x14ac:dyDescent="0.4">
      <c r="B69" s="8">
        <f>SUM(B7:B67)/61</f>
        <v>1.2255737704918035</v>
      </c>
    </row>
  </sheetData>
  <mergeCells count="1">
    <mergeCell ref="Q3:R3"/>
  </mergeCells>
  <phoneticPr fontId="1" type="noConversion"/>
  <pageMargins left="0.75" right="0.75" top="1" bottom="1" header="0.5" footer="0.5"/>
  <headerFooter alignWithMargins="0"/>
  <ignoredErrors>
    <ignoredError sqref="L5" numberStoredAsText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workbookViewId="0">
      <selection activeCell="D18" sqref="D18"/>
    </sheetView>
  </sheetViews>
  <sheetFormatPr defaultRowHeight="12.75" x14ac:dyDescent="0.35"/>
  <cols>
    <col min="1" max="1" width="13.53125" customWidth="1"/>
  </cols>
  <sheetData>
    <row r="1" spans="1:19" x14ac:dyDescent="0.35">
      <c r="A1" t="s">
        <v>0</v>
      </c>
    </row>
    <row r="2" spans="1:19" x14ac:dyDescent="0.35">
      <c r="A2" t="s">
        <v>91</v>
      </c>
    </row>
    <row r="3" spans="1:19" x14ac:dyDescent="0.35">
      <c r="A3" t="s">
        <v>4</v>
      </c>
      <c r="B3" s="3" t="s">
        <v>13</v>
      </c>
      <c r="C3" s="3" t="s">
        <v>14</v>
      </c>
      <c r="D3" s="3" t="s">
        <v>15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5">
      <c r="A4" t="s">
        <v>2</v>
      </c>
      <c r="B4">
        <v>357362</v>
      </c>
      <c r="C4">
        <v>362040</v>
      </c>
      <c r="D4">
        <v>366706</v>
      </c>
    </row>
    <row r="5" spans="1:19" x14ac:dyDescent="0.35">
      <c r="A5" t="s">
        <v>1</v>
      </c>
      <c r="B5">
        <v>5476676</v>
      </c>
      <c r="C5">
        <v>5476292</v>
      </c>
      <c r="D5">
        <v>5475095</v>
      </c>
    </row>
    <row r="7" spans="1:19" x14ac:dyDescent="0.35">
      <c r="B7">
        <v>0.15</v>
      </c>
      <c r="C7">
        <v>0.13</v>
      </c>
      <c r="D7">
        <v>0.08</v>
      </c>
    </row>
    <row r="8" spans="1:19" x14ac:dyDescent="0.35">
      <c r="B8">
        <v>0.21</v>
      </c>
      <c r="C8">
        <v>0.28000000000000003</v>
      </c>
      <c r="D8">
        <v>0.09</v>
      </c>
    </row>
    <row r="9" spans="1:19" x14ac:dyDescent="0.35">
      <c r="B9">
        <v>0.19</v>
      </c>
      <c r="C9">
        <v>0.38</v>
      </c>
      <c r="D9">
        <v>7.0000000000000007E-2</v>
      </c>
    </row>
    <row r="10" spans="1:19" x14ac:dyDescent="0.35">
      <c r="B10">
        <v>0.14000000000000001</v>
      </c>
      <c r="C10">
        <v>0.31</v>
      </c>
      <c r="D10">
        <v>0.12</v>
      </c>
    </row>
    <row r="11" spans="1:19" x14ac:dyDescent="0.35">
      <c r="B11">
        <v>0.26</v>
      </c>
      <c r="C11">
        <v>0.04</v>
      </c>
      <c r="D11">
        <v>7.0000000000000007E-2</v>
      </c>
    </row>
    <row r="12" spans="1:19" x14ac:dyDescent="0.35">
      <c r="B12">
        <v>0.23</v>
      </c>
      <c r="C12">
        <v>0.17</v>
      </c>
      <c r="D12">
        <v>7.0000000000000007E-2</v>
      </c>
    </row>
    <row r="13" spans="1:19" x14ac:dyDescent="0.35">
      <c r="B13">
        <v>0.18</v>
      </c>
      <c r="C13">
        <v>0.14000000000000001</v>
      </c>
      <c r="D13">
        <v>0.12</v>
      </c>
    </row>
    <row r="14" spans="1:19" x14ac:dyDescent="0.35">
      <c r="B14">
        <v>0.24</v>
      </c>
      <c r="C14">
        <v>0.15</v>
      </c>
      <c r="D14">
        <v>0.09</v>
      </c>
    </row>
    <row r="15" spans="1:19" x14ac:dyDescent="0.35">
      <c r="B15">
        <v>0.22</v>
      </c>
      <c r="C15">
        <v>0.18</v>
      </c>
      <c r="D15">
        <v>0.1</v>
      </c>
    </row>
    <row r="16" spans="1:19" x14ac:dyDescent="0.35">
      <c r="B16">
        <v>0.21</v>
      </c>
      <c r="C16">
        <v>0.13</v>
      </c>
      <c r="D16">
        <v>7.0000000000000007E-2</v>
      </c>
    </row>
    <row r="17" spans="2:4" x14ac:dyDescent="0.35">
      <c r="B17">
        <v>0.2</v>
      </c>
      <c r="C17">
        <v>0.17</v>
      </c>
      <c r="D17">
        <v>0.06</v>
      </c>
    </row>
    <row r="18" spans="2:4" x14ac:dyDescent="0.35">
      <c r="B18">
        <v>0.25</v>
      </c>
      <c r="C18">
        <v>0.16</v>
      </c>
      <c r="D18">
        <v>0.08</v>
      </c>
    </row>
    <row r="19" spans="2:4" x14ac:dyDescent="0.35">
      <c r="B19">
        <v>0.24</v>
      </c>
      <c r="C19">
        <v>0.11</v>
      </c>
    </row>
    <row r="20" spans="2:4" x14ac:dyDescent="0.35">
      <c r="B20">
        <v>0.24</v>
      </c>
      <c r="C20">
        <v>0.13</v>
      </c>
    </row>
    <row r="21" spans="2:4" x14ac:dyDescent="0.35">
      <c r="B21">
        <v>0.12</v>
      </c>
      <c r="C21">
        <v>0.14000000000000001</v>
      </c>
    </row>
    <row r="22" spans="2:4" x14ac:dyDescent="0.35">
      <c r="B22">
        <v>0.24</v>
      </c>
      <c r="C22">
        <v>0.17</v>
      </c>
    </row>
    <row r="23" spans="2:4" x14ac:dyDescent="0.35">
      <c r="B23">
        <v>0.24</v>
      </c>
      <c r="C23">
        <v>0.18</v>
      </c>
    </row>
    <row r="24" spans="2:4" x14ac:dyDescent="0.35">
      <c r="B24">
        <v>0.19</v>
      </c>
      <c r="C24">
        <v>0.23</v>
      </c>
    </row>
    <row r="25" spans="2:4" x14ac:dyDescent="0.35">
      <c r="B25">
        <v>0.16</v>
      </c>
      <c r="C25">
        <v>0.14000000000000001</v>
      </c>
    </row>
    <row r="26" spans="2:4" x14ac:dyDescent="0.35">
      <c r="B26">
        <v>0.15</v>
      </c>
      <c r="C26">
        <v>0.14000000000000001</v>
      </c>
    </row>
    <row r="27" spans="2:4" x14ac:dyDescent="0.35">
      <c r="B27">
        <v>0.18</v>
      </c>
      <c r="C27">
        <v>0.12</v>
      </c>
    </row>
    <row r="28" spans="2:4" x14ac:dyDescent="0.35">
      <c r="B28">
        <v>0.26</v>
      </c>
      <c r="C28">
        <v>0.04</v>
      </c>
    </row>
    <row r="29" spans="2:4" x14ac:dyDescent="0.35">
      <c r="B29">
        <v>0.17</v>
      </c>
      <c r="C29">
        <v>0.1</v>
      </c>
    </row>
    <row r="30" spans="2:4" x14ac:dyDescent="0.35">
      <c r="B30">
        <v>0.2</v>
      </c>
      <c r="C30">
        <v>0.2</v>
      </c>
    </row>
    <row r="31" spans="2:4" x14ac:dyDescent="0.35">
      <c r="B31">
        <v>0.19</v>
      </c>
      <c r="C31">
        <v>0.23</v>
      </c>
    </row>
    <row r="32" spans="2:4" x14ac:dyDescent="0.35">
      <c r="B32">
        <v>0.21</v>
      </c>
      <c r="C32">
        <v>0.09</v>
      </c>
    </row>
    <row r="33" spans="1:4" x14ac:dyDescent="0.35">
      <c r="B33">
        <v>0.18</v>
      </c>
      <c r="C33">
        <v>0.11</v>
      </c>
    </row>
    <row r="34" spans="1:4" x14ac:dyDescent="0.35">
      <c r="B34">
        <v>0.19</v>
      </c>
      <c r="C34">
        <v>0.2</v>
      </c>
    </row>
    <row r="35" spans="1:4" x14ac:dyDescent="0.35">
      <c r="B35">
        <v>0.17</v>
      </c>
      <c r="C35">
        <v>0.06</v>
      </c>
    </row>
    <row r="36" spans="1:4" x14ac:dyDescent="0.35">
      <c r="B36">
        <v>0.19</v>
      </c>
      <c r="C36">
        <v>0.17</v>
      </c>
    </row>
    <row r="37" spans="1:4" x14ac:dyDescent="0.35">
      <c r="C37">
        <v>0.08</v>
      </c>
    </row>
    <row r="38" spans="1:4" ht="15" x14ac:dyDescent="0.4">
      <c r="A38" t="s">
        <v>3</v>
      </c>
      <c r="B38" s="7">
        <f>SUM(B7:B36)/30</f>
        <v>0.20000000000000007</v>
      </c>
      <c r="C38">
        <v>0.1</v>
      </c>
      <c r="D38" s="7">
        <f>SUM(D7:D18)/12</f>
        <v>8.5000000000000006E-2</v>
      </c>
    </row>
    <row r="39" spans="1:4" x14ac:dyDescent="0.35">
      <c r="C39">
        <v>0.1</v>
      </c>
    </row>
    <row r="40" spans="1:4" x14ac:dyDescent="0.35">
      <c r="C40">
        <v>0.11</v>
      </c>
    </row>
    <row r="41" spans="1:4" x14ac:dyDescent="0.35">
      <c r="C41">
        <v>0.08</v>
      </c>
    </row>
    <row r="42" spans="1:4" x14ac:dyDescent="0.35">
      <c r="C42">
        <v>0.06</v>
      </c>
    </row>
    <row r="43" spans="1:4" x14ac:dyDescent="0.35">
      <c r="C43">
        <v>0.06</v>
      </c>
    </row>
    <row r="44" spans="1:4" x14ac:dyDescent="0.35">
      <c r="C44">
        <v>0.2</v>
      </c>
    </row>
    <row r="46" spans="1:4" ht="15" x14ac:dyDescent="0.4">
      <c r="C46" s="8">
        <f>SUM(C7:C44)/38</f>
        <v>0.14710526315789474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B5" sqref="B5"/>
    </sheetView>
  </sheetViews>
  <sheetFormatPr defaultRowHeight="12.75" x14ac:dyDescent="0.35"/>
  <cols>
    <col min="1" max="1" width="13.53125" customWidth="1"/>
  </cols>
  <sheetData>
    <row r="1" spans="1:19" x14ac:dyDescent="0.35">
      <c r="A1" t="s">
        <v>0</v>
      </c>
    </row>
    <row r="2" spans="1:19" x14ac:dyDescent="0.35">
      <c r="A2" t="s">
        <v>91</v>
      </c>
    </row>
    <row r="3" spans="1:19" x14ac:dyDescent="0.35">
      <c r="A3" t="s">
        <v>4</v>
      </c>
      <c r="B3" s="3" t="s">
        <v>20</v>
      </c>
      <c r="C3" s="3"/>
      <c r="D3" s="3"/>
      <c r="E3" s="3"/>
      <c r="F3" s="3"/>
      <c r="G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5">
      <c r="A4" t="s">
        <v>2</v>
      </c>
      <c r="B4">
        <v>377409</v>
      </c>
    </row>
    <row r="5" spans="1:19" x14ac:dyDescent="0.35">
      <c r="A5" t="s">
        <v>1</v>
      </c>
      <c r="B5">
        <v>5470523</v>
      </c>
    </row>
    <row r="7" spans="1:19" x14ac:dyDescent="0.35">
      <c r="B7">
        <v>0.05</v>
      </c>
    </row>
    <row r="8" spans="1:19" x14ac:dyDescent="0.35">
      <c r="B8">
        <v>0.02</v>
      </c>
    </row>
    <row r="9" spans="1:19" x14ac:dyDescent="0.35">
      <c r="B9">
        <v>0.02</v>
      </c>
    </row>
    <row r="10" spans="1:19" x14ac:dyDescent="0.35">
      <c r="B10">
        <v>0.06</v>
      </c>
    </row>
    <row r="11" spans="1:19" x14ac:dyDescent="0.35">
      <c r="B11">
        <v>0.12</v>
      </c>
    </row>
    <row r="12" spans="1:19" x14ac:dyDescent="0.35">
      <c r="B12">
        <v>0.05</v>
      </c>
    </row>
    <row r="13" spans="1:19" x14ac:dyDescent="0.35">
      <c r="B13">
        <v>0.04</v>
      </c>
    </row>
    <row r="14" spans="1:19" x14ac:dyDescent="0.35">
      <c r="B14">
        <v>0.1</v>
      </c>
    </row>
    <row r="15" spans="1:19" x14ac:dyDescent="0.35">
      <c r="B15">
        <v>0.06</v>
      </c>
    </row>
    <row r="16" spans="1:19" x14ac:dyDescent="0.35">
      <c r="B16">
        <v>0.05</v>
      </c>
    </row>
    <row r="17" spans="2:2" x14ac:dyDescent="0.35">
      <c r="B17">
        <v>0.08</v>
      </c>
    </row>
    <row r="18" spans="2:2" x14ac:dyDescent="0.35">
      <c r="B18">
        <v>7.0000000000000007E-2</v>
      </c>
    </row>
    <row r="19" spans="2:2" x14ac:dyDescent="0.35">
      <c r="B19">
        <v>0.08</v>
      </c>
    </row>
    <row r="20" spans="2:2" x14ac:dyDescent="0.35">
      <c r="B20">
        <v>0.06</v>
      </c>
    </row>
    <row r="21" spans="2:2" x14ac:dyDescent="0.35">
      <c r="B21">
        <v>0.05</v>
      </c>
    </row>
    <row r="22" spans="2:2" x14ac:dyDescent="0.35">
      <c r="B22">
        <v>0.01</v>
      </c>
    </row>
    <row r="23" spans="2:2" x14ac:dyDescent="0.35">
      <c r="B23">
        <v>0.15</v>
      </c>
    </row>
    <row r="24" spans="2:2" x14ac:dyDescent="0.35">
      <c r="B24">
        <v>0.04</v>
      </c>
    </row>
    <row r="25" spans="2:2" x14ac:dyDescent="0.35">
      <c r="B25">
        <v>0.18</v>
      </c>
    </row>
    <row r="26" spans="2:2" x14ac:dyDescent="0.35">
      <c r="B26">
        <v>0.04</v>
      </c>
    </row>
    <row r="27" spans="2:2" x14ac:dyDescent="0.35">
      <c r="B27">
        <v>0.08</v>
      </c>
    </row>
    <row r="28" spans="2:2" x14ac:dyDescent="0.35">
      <c r="B28">
        <v>0.08</v>
      </c>
    </row>
    <row r="29" spans="2:2" x14ac:dyDescent="0.35">
      <c r="B29">
        <v>0.2</v>
      </c>
    </row>
    <row r="30" spans="2:2" x14ac:dyDescent="0.35">
      <c r="B30">
        <v>0.14000000000000001</v>
      </c>
    </row>
    <row r="31" spans="2:2" x14ac:dyDescent="0.35">
      <c r="B31">
        <v>0.05</v>
      </c>
    </row>
    <row r="32" spans="2:2" x14ac:dyDescent="0.35">
      <c r="B32">
        <v>0.15</v>
      </c>
    </row>
    <row r="33" spans="2:2" x14ac:dyDescent="0.35">
      <c r="B33">
        <v>7.0000000000000007E-2</v>
      </c>
    </row>
    <row r="34" spans="2:2" x14ac:dyDescent="0.35">
      <c r="B34">
        <v>0.14000000000000001</v>
      </c>
    </row>
    <row r="35" spans="2:2" x14ac:dyDescent="0.35">
      <c r="B35">
        <v>0.08</v>
      </c>
    </row>
    <row r="36" spans="2:2" x14ac:dyDescent="0.35">
      <c r="B36">
        <v>0.12</v>
      </c>
    </row>
    <row r="37" spans="2:2" x14ac:dyDescent="0.35">
      <c r="B37">
        <v>7.0000000000000007E-2</v>
      </c>
    </row>
    <row r="38" spans="2:2" x14ac:dyDescent="0.35">
      <c r="B38">
        <v>7.0000000000000007E-2</v>
      </c>
    </row>
    <row r="39" spans="2:2" x14ac:dyDescent="0.35">
      <c r="B39">
        <v>0.08</v>
      </c>
    </row>
    <row r="40" spans="2:2" x14ac:dyDescent="0.35">
      <c r="B40">
        <v>0.12</v>
      </c>
    </row>
    <row r="41" spans="2:2" x14ac:dyDescent="0.35">
      <c r="B41">
        <v>0.19</v>
      </c>
    </row>
    <row r="42" spans="2:2" x14ac:dyDescent="0.35">
      <c r="B42">
        <v>0.11</v>
      </c>
    </row>
    <row r="43" spans="2:2" x14ac:dyDescent="0.35">
      <c r="B43">
        <v>0.12</v>
      </c>
    </row>
    <row r="45" spans="2:2" ht="15" x14ac:dyDescent="0.4">
      <c r="B45" s="9">
        <f>SUM(B7:B43)/37</f>
        <v>8.6486486486486491E-2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opLeftCell="A13" workbookViewId="0">
      <selection activeCell="C34" sqref="C34"/>
    </sheetView>
  </sheetViews>
  <sheetFormatPr defaultRowHeight="12.75" x14ac:dyDescent="0.35"/>
  <cols>
    <col min="1" max="1" width="13.19921875" customWidth="1"/>
  </cols>
  <sheetData>
    <row r="1" spans="1:19" x14ac:dyDescent="0.35">
      <c r="A1" t="s">
        <v>0</v>
      </c>
    </row>
    <row r="2" spans="1:19" x14ac:dyDescent="0.35">
      <c r="A2" t="s">
        <v>91</v>
      </c>
    </row>
    <row r="3" spans="1:19" x14ac:dyDescent="0.35">
      <c r="A3" t="s">
        <v>4</v>
      </c>
      <c r="B3" s="3" t="s">
        <v>30</v>
      </c>
      <c r="C3" s="3"/>
      <c r="D3" s="3"/>
      <c r="E3" s="3"/>
      <c r="F3" s="3"/>
      <c r="G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5">
      <c r="A4" t="s">
        <v>2</v>
      </c>
      <c r="B4">
        <v>380086</v>
      </c>
    </row>
    <row r="5" spans="1:19" x14ac:dyDescent="0.35">
      <c r="A5" t="s">
        <v>1</v>
      </c>
      <c r="B5">
        <v>5455885</v>
      </c>
    </row>
    <row r="6" spans="1:19" x14ac:dyDescent="0.35">
      <c r="B6" t="s">
        <v>31</v>
      </c>
    </row>
    <row r="7" spans="1:19" x14ac:dyDescent="0.35">
      <c r="B7">
        <v>0.4</v>
      </c>
      <c r="E7" s="18" t="s">
        <v>342</v>
      </c>
      <c r="F7" s="52">
        <f>COUNTIF(B$7:B$44,"&gt;=0")-COUNTIF(B$7:B$44,"&gt;0.0499")</f>
        <v>9</v>
      </c>
    </row>
    <row r="8" spans="1:19" x14ac:dyDescent="0.35">
      <c r="B8">
        <v>0.45</v>
      </c>
      <c r="E8" s="18" t="s">
        <v>328</v>
      </c>
      <c r="F8" s="52">
        <f>COUNTIF(B$7:B$44,"&gt;=0.05")-COUNTIF(B$7:B$44,"&gt;0.0999")</f>
        <v>6</v>
      </c>
    </row>
    <row r="9" spans="1:19" x14ac:dyDescent="0.35">
      <c r="B9">
        <v>0.31</v>
      </c>
      <c r="E9" s="18" t="s">
        <v>329</v>
      </c>
      <c r="F9" s="52">
        <f>COUNTIF(B$7:B$44,"&gt;=0.10")-COUNTIF(B$7:B$44,"&gt;0.1499")</f>
        <v>4</v>
      </c>
    </row>
    <row r="10" spans="1:19" x14ac:dyDescent="0.35">
      <c r="B10">
        <v>0</v>
      </c>
      <c r="E10" s="18" t="s">
        <v>330</v>
      </c>
      <c r="F10" s="52">
        <f>COUNTIF(B$7:B$44,"&gt;=0.15")-COUNTIF(B$7:B$44,"&gt;0.1999")</f>
        <v>6</v>
      </c>
    </row>
    <row r="11" spans="1:19" x14ac:dyDescent="0.35">
      <c r="B11">
        <v>0.08</v>
      </c>
      <c r="E11" s="18" t="s">
        <v>331</v>
      </c>
      <c r="F11" s="52">
        <f>COUNTIF(B$7:B$44,"&gt;=0.20")-COUNTIF(B$7:B$44,"&gt;0.2499")</f>
        <v>4</v>
      </c>
    </row>
    <row r="12" spans="1:19" x14ac:dyDescent="0.35">
      <c r="B12">
        <v>0.12</v>
      </c>
      <c r="E12" s="18" t="s">
        <v>332</v>
      </c>
      <c r="F12" s="52">
        <f>COUNTIF(B$7:B$44,"&gt;=0.25")-COUNTIF(B$7:B$44,"&gt;0.2999")</f>
        <v>3</v>
      </c>
    </row>
    <row r="13" spans="1:19" x14ac:dyDescent="0.35">
      <c r="B13">
        <v>0.2</v>
      </c>
      <c r="E13" s="18" t="s">
        <v>333</v>
      </c>
      <c r="F13" s="52">
        <f>COUNTIF(B$7:B$44,"&gt;=0.3")-COUNTIF(B$7:B$44,"&gt;0.3499")</f>
        <v>2</v>
      </c>
    </row>
    <row r="14" spans="1:19" x14ac:dyDescent="0.35">
      <c r="B14">
        <v>0.04</v>
      </c>
      <c r="E14" s="18" t="s">
        <v>334</v>
      </c>
      <c r="F14" s="52">
        <f>COUNTIF(B$7:B$44,"&gt;=0.35")-COUNTIF(B$7:B$44,"&gt;0.3999")</f>
        <v>0</v>
      </c>
    </row>
    <row r="15" spans="1:19" x14ac:dyDescent="0.35">
      <c r="B15">
        <v>0.25</v>
      </c>
      <c r="E15" s="18" t="s">
        <v>335</v>
      </c>
      <c r="F15" s="52">
        <f>COUNTIF(B$7:B$44,"&gt;=0.40")-COUNTIF(B$7:B$44,"&gt;0.4499")</f>
        <v>1</v>
      </c>
    </row>
    <row r="16" spans="1:19" x14ac:dyDescent="0.35">
      <c r="B16">
        <v>0.19</v>
      </c>
      <c r="E16" s="18" t="s">
        <v>336</v>
      </c>
      <c r="F16" s="52">
        <f>COUNTIF(B$7:B$44,"&gt;=0.45")-COUNTIF(B$7:B$44,"&gt;0.4999")</f>
        <v>1</v>
      </c>
    </row>
    <row r="17" spans="2:6" x14ac:dyDescent="0.35">
      <c r="B17">
        <v>0.11</v>
      </c>
      <c r="E17" s="18" t="s">
        <v>363</v>
      </c>
      <c r="F17" s="52">
        <f>COUNTIF(B$7:B$44,"&gt;=0.5")-COUNTIF(B$7:B$44,"&gt;0.999")</f>
        <v>0</v>
      </c>
    </row>
    <row r="18" spans="2:6" x14ac:dyDescent="0.35">
      <c r="B18">
        <v>3.18</v>
      </c>
      <c r="E18" s="18" t="s">
        <v>364</v>
      </c>
      <c r="F18" s="52">
        <f>COUNTIF(B$7:B$44,"&gt;=1.0")</f>
        <v>2</v>
      </c>
    </row>
    <row r="19" spans="2:6" x14ac:dyDescent="0.35">
      <c r="B19">
        <v>0.04</v>
      </c>
    </row>
    <row r="20" spans="2:6" x14ac:dyDescent="0.35">
      <c r="B20">
        <v>0.27</v>
      </c>
    </row>
    <row r="21" spans="2:6" x14ac:dyDescent="0.35">
      <c r="B21">
        <v>0.32</v>
      </c>
    </row>
    <row r="22" spans="2:6" x14ac:dyDescent="0.35">
      <c r="B22">
        <v>6.05</v>
      </c>
    </row>
    <row r="23" spans="2:6" x14ac:dyDescent="0.35">
      <c r="B23">
        <v>7.0000000000000007E-2</v>
      </c>
    </row>
    <row r="24" spans="2:6" x14ac:dyDescent="0.35">
      <c r="B24">
        <v>0.15</v>
      </c>
    </row>
    <row r="25" spans="2:6" x14ac:dyDescent="0.35">
      <c r="B25">
        <v>0.02</v>
      </c>
    </row>
    <row r="26" spans="2:6" x14ac:dyDescent="0.35">
      <c r="B26">
        <v>7.0000000000000007E-2</v>
      </c>
    </row>
    <row r="27" spans="2:6" x14ac:dyDescent="0.35">
      <c r="B27">
        <v>0.11</v>
      </c>
    </row>
    <row r="28" spans="2:6" x14ac:dyDescent="0.35">
      <c r="B28">
        <v>0.27</v>
      </c>
    </row>
    <row r="29" spans="2:6" x14ac:dyDescent="0.35">
      <c r="B29">
        <v>0.23</v>
      </c>
    </row>
    <row r="30" spans="2:6" x14ac:dyDescent="0.35">
      <c r="B30">
        <v>0.05</v>
      </c>
    </row>
    <row r="31" spans="2:6" x14ac:dyDescent="0.35">
      <c r="B31">
        <v>0.22</v>
      </c>
    </row>
    <row r="32" spans="2:6" x14ac:dyDescent="0.35">
      <c r="B32">
        <v>0.18</v>
      </c>
    </row>
    <row r="33" spans="2:2" x14ac:dyDescent="0.35">
      <c r="B33">
        <v>0.14000000000000001</v>
      </c>
    </row>
    <row r="34" spans="2:2" x14ac:dyDescent="0.35">
      <c r="B34">
        <v>0.17</v>
      </c>
    </row>
    <row r="35" spans="2:2" x14ac:dyDescent="0.35">
      <c r="B35">
        <v>0.02</v>
      </c>
    </row>
    <row r="36" spans="2:2" x14ac:dyDescent="0.35">
      <c r="B36">
        <v>0.01</v>
      </c>
    </row>
    <row r="37" spans="2:2" x14ac:dyDescent="0.35">
      <c r="B37">
        <v>0.16</v>
      </c>
    </row>
    <row r="38" spans="2:2" x14ac:dyDescent="0.35">
      <c r="B38">
        <v>0.23</v>
      </c>
    </row>
    <row r="39" spans="2:2" x14ac:dyDescent="0.35">
      <c r="B39">
        <v>7.0000000000000007E-2</v>
      </c>
    </row>
    <row r="40" spans="2:2" x14ac:dyDescent="0.35">
      <c r="B40">
        <v>0.03</v>
      </c>
    </row>
    <row r="41" spans="2:2" x14ac:dyDescent="0.35">
      <c r="B41">
        <v>0.04</v>
      </c>
    </row>
    <row r="42" spans="2:2" x14ac:dyDescent="0.35">
      <c r="B42">
        <v>0.05</v>
      </c>
    </row>
    <row r="43" spans="2:2" x14ac:dyDescent="0.35">
      <c r="B43">
        <v>0.02</v>
      </c>
    </row>
    <row r="44" spans="2:2" x14ac:dyDescent="0.35">
      <c r="B44">
        <v>0.16</v>
      </c>
    </row>
    <row r="46" spans="2:2" ht="15" x14ac:dyDescent="0.4">
      <c r="B46" s="9">
        <f>SUM(B7:B44)/38</f>
        <v>0.38105263157894742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</vt:i4>
      </vt:variant>
    </vt:vector>
  </HeadingPairs>
  <TitlesOfParts>
    <vt:vector size="26" baseType="lpstr">
      <vt:lpstr>Summary_Table</vt:lpstr>
      <vt:lpstr>Rocky_Cape_Gp</vt:lpstr>
      <vt:lpstr>Jacob_Qte</vt:lpstr>
      <vt:lpstr>Forest_Cong</vt:lpstr>
      <vt:lpstr>Togari_Slt</vt:lpstr>
      <vt:lpstr>Togari_Mafics</vt:lpstr>
      <vt:lpstr>Cowrie_Slt</vt:lpstr>
      <vt:lpstr>Irby_Slt</vt:lpstr>
      <vt:lpstr>Keith_Mm</vt:lpstr>
      <vt:lpstr>Mafic_Dyke</vt:lpstr>
      <vt:lpstr>Wynyd_Till</vt:lpstr>
      <vt:lpstr>Cooee_Dol</vt:lpstr>
      <vt:lpstr>Burnie_Fm</vt:lpstr>
      <vt:lpstr>Mottn_Spil</vt:lpstr>
      <vt:lpstr>Owen_Cong</vt:lpstr>
      <vt:lpstr>Moina_Sst</vt:lpstr>
      <vt:lpstr>Forth_Mm</vt:lpstr>
      <vt:lpstr>Serp</vt:lpstr>
      <vt:lpstr>Gabbro</vt:lpstr>
      <vt:lpstr>NeoP_Sed</vt:lpstr>
      <vt:lpstr>BadgerH_Sed</vt:lpstr>
      <vt:lpstr>Mathna_Gp</vt:lpstr>
      <vt:lpstr>Dolerite</vt:lpstr>
      <vt:lpstr>Cz_Basalt</vt:lpstr>
      <vt:lpstr>Sheet1</vt:lpstr>
      <vt:lpstr>Summary_Table!Print_Area</vt:lpstr>
    </vt:vector>
  </TitlesOfParts>
  <Company>Monash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pchelp</dc:creator>
  <cp:lastModifiedBy>David Moore</cp:lastModifiedBy>
  <cp:lastPrinted>2010-04-12T05:07:17Z</cp:lastPrinted>
  <dcterms:created xsi:type="dcterms:W3CDTF">2010-02-01T06:10:53Z</dcterms:created>
  <dcterms:modified xsi:type="dcterms:W3CDTF">2016-03-10T00:14:42Z</dcterms:modified>
</cp:coreProperties>
</file>